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Hayashi\Desktop\"/>
    </mc:Choice>
  </mc:AlternateContent>
  <xr:revisionPtr revIDLastSave="0" documentId="13_ncr:1_{85ABA114-24ED-415C-82AE-E37B4B704226}" xr6:coauthVersionLast="47" xr6:coauthVersionMax="47" xr10:uidLastSave="{00000000-0000-0000-0000-000000000000}"/>
  <bookViews>
    <workbookView xWindow="2640" yWindow="1575" windowWidth="21870" windowHeight="13530" xr2:uid="{00000000-000D-0000-FFFF-FFFF00000000}"/>
  </bookViews>
  <sheets>
    <sheet name="Fixed salary computation" sheetId="1" r:id="rId1"/>
    <sheet name="Tax" sheetId="2" r:id="rId2"/>
    <sheet name="SSS" sheetId="4" r:id="rId3"/>
    <sheet name="Phil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J27" i="1"/>
  <c r="J25" i="1"/>
  <c r="J23" i="1"/>
  <c r="J21" i="1"/>
  <c r="J19" i="1"/>
  <c r="J17" i="1"/>
  <c r="J15" i="1"/>
  <c r="J13" i="1"/>
  <c r="J11" i="1"/>
  <c r="J9" i="1"/>
  <c r="J7" i="1"/>
  <c r="I7" i="1"/>
  <c r="E54" i="4"/>
  <c r="F54" i="4" s="1"/>
  <c r="C54" i="4"/>
  <c r="F53" i="4"/>
  <c r="E53" i="4"/>
  <c r="C53" i="4"/>
  <c r="B53" i="4"/>
  <c r="E52" i="4"/>
  <c r="C52" i="4"/>
  <c r="F52" i="4" s="1"/>
  <c r="B52" i="4"/>
  <c r="F51" i="4"/>
  <c r="E51" i="4"/>
  <c r="C51" i="4"/>
  <c r="B51" i="4"/>
  <c r="E50" i="4"/>
  <c r="C50" i="4"/>
  <c r="F50" i="4" s="1"/>
  <c r="B50" i="4"/>
  <c r="F49" i="4"/>
  <c r="E49" i="4"/>
  <c r="C49" i="4"/>
  <c r="B49" i="4"/>
  <c r="E48" i="4"/>
  <c r="C48" i="4"/>
  <c r="F48" i="4" s="1"/>
  <c r="B48" i="4"/>
  <c r="F47" i="4"/>
  <c r="E47" i="4"/>
  <c r="C47" i="4"/>
  <c r="B47" i="4"/>
  <c r="E46" i="4"/>
  <c r="C46" i="4"/>
  <c r="F46" i="4" s="1"/>
  <c r="B46" i="4"/>
  <c r="F45" i="4"/>
  <c r="E45" i="4"/>
  <c r="C45" i="4"/>
  <c r="B45" i="4"/>
  <c r="E44" i="4"/>
  <c r="C44" i="4"/>
  <c r="F44" i="4" s="1"/>
  <c r="B44" i="4"/>
  <c r="F43" i="4"/>
  <c r="E43" i="4"/>
  <c r="C43" i="4"/>
  <c r="B43" i="4"/>
  <c r="E42" i="4"/>
  <c r="C42" i="4"/>
  <c r="F42" i="4" s="1"/>
  <c r="B42" i="4"/>
  <c r="F41" i="4"/>
  <c r="E41" i="4"/>
  <c r="C41" i="4"/>
  <c r="B41" i="4"/>
  <c r="E40" i="4"/>
  <c r="C40" i="4"/>
  <c r="F40" i="4" s="1"/>
  <c r="B40" i="4"/>
  <c r="F39" i="4"/>
  <c r="E39" i="4"/>
  <c r="C39" i="4"/>
  <c r="B39" i="4"/>
  <c r="E38" i="4"/>
  <c r="C38" i="4"/>
  <c r="F38" i="4" s="1"/>
  <c r="B38" i="4"/>
  <c r="F37" i="4"/>
  <c r="E37" i="4"/>
  <c r="C37" i="4"/>
  <c r="B37" i="4"/>
  <c r="E36" i="4"/>
  <c r="C36" i="4"/>
  <c r="F36" i="4" s="1"/>
  <c r="B36" i="4"/>
  <c r="F35" i="4"/>
  <c r="E35" i="4"/>
  <c r="C35" i="4"/>
  <c r="B35" i="4"/>
  <c r="F34" i="4"/>
  <c r="B34" i="4"/>
  <c r="F33" i="4"/>
  <c r="B33" i="4"/>
  <c r="F32" i="4"/>
  <c r="B32" i="4"/>
  <c r="F31" i="4"/>
  <c r="B31" i="4"/>
  <c r="F30" i="4"/>
  <c r="B30" i="4"/>
  <c r="F29" i="4"/>
  <c r="B29" i="4"/>
  <c r="F28" i="4"/>
  <c r="B28" i="4"/>
  <c r="F27" i="4"/>
  <c r="B27" i="4"/>
  <c r="F26" i="4"/>
  <c r="B26" i="4"/>
  <c r="F25" i="4"/>
  <c r="B25" i="4"/>
  <c r="F24" i="4"/>
  <c r="B24" i="4"/>
  <c r="F23" i="4"/>
  <c r="B23" i="4"/>
  <c r="F22" i="4"/>
  <c r="B22" i="4"/>
  <c r="F21" i="4"/>
  <c r="B21" i="4"/>
  <c r="F20" i="4"/>
  <c r="B20" i="4"/>
  <c r="F19" i="4"/>
  <c r="B19" i="4"/>
  <c r="F18" i="4"/>
  <c r="B18" i="4"/>
  <c r="F17" i="4"/>
  <c r="B17" i="4"/>
  <c r="F16" i="4"/>
  <c r="B16" i="4"/>
  <c r="F15" i="4"/>
  <c r="B15" i="4"/>
  <c r="F14" i="4"/>
  <c r="B14" i="4"/>
  <c r="F13" i="4"/>
  <c r="B13" i="4"/>
  <c r="F12" i="4"/>
  <c r="B12" i="4"/>
  <c r="F11" i="4"/>
  <c r="B11" i="4"/>
  <c r="F10" i="4"/>
  <c r="B10" i="4"/>
  <c r="F9" i="4"/>
  <c r="B9" i="4"/>
  <c r="F8" i="4"/>
  <c r="B8" i="4"/>
  <c r="F7" i="4"/>
  <c r="B7" i="4"/>
  <c r="F6" i="4"/>
  <c r="B6" i="4"/>
  <c r="F5" i="4"/>
  <c r="B5" i="4"/>
  <c r="F4" i="4"/>
  <c r="B4" i="4"/>
  <c r="F3" i="4"/>
  <c r="B3" i="4"/>
  <c r="F2" i="4"/>
  <c r="K7" i="1" l="1"/>
  <c r="L7" i="1" s="1"/>
  <c r="L9" i="1" s="1"/>
  <c r="L11" i="1" s="1"/>
  <c r="L13" i="1" s="1"/>
  <c r="L15" i="1" s="1"/>
  <c r="L17" i="1" s="1"/>
  <c r="L19" i="1" s="1"/>
  <c r="L21" i="1" s="1"/>
  <c r="L23" i="1" s="1"/>
  <c r="L25" i="1" s="1"/>
  <c r="L27" i="1" s="1"/>
  <c r="L29" i="1" s="1"/>
  <c r="H9" i="1"/>
  <c r="G9" i="1"/>
  <c r="F9" i="1"/>
  <c r="I9" i="1" s="1"/>
  <c r="K9" i="1" l="1"/>
  <c r="C6" i="1" l="1"/>
  <c r="A7" i="1" s="1"/>
  <c r="C7" i="1"/>
  <c r="D7" i="1" s="1"/>
  <c r="D6" i="1" l="1"/>
  <c r="G11" i="1"/>
  <c r="G13" i="1" s="1"/>
  <c r="H11" i="1"/>
  <c r="H13" i="1" s="1"/>
  <c r="H15" i="1" l="1"/>
  <c r="H17" i="1" s="1"/>
  <c r="H19" i="1" s="1"/>
  <c r="H21" i="1" s="1"/>
  <c r="H23" i="1" s="1"/>
  <c r="H25" i="1" s="1"/>
  <c r="H27" i="1" s="1"/>
  <c r="H29" i="1" s="1"/>
  <c r="G15" i="1"/>
  <c r="F11" i="1"/>
  <c r="E9" i="1"/>
  <c r="N28" i="1"/>
  <c r="N26" i="1"/>
  <c r="N24" i="1"/>
  <c r="N22" i="1"/>
  <c r="N20" i="1"/>
  <c r="N18" i="1"/>
  <c r="N16" i="1"/>
  <c r="N14" i="1"/>
  <c r="N12" i="1"/>
  <c r="N10" i="1"/>
  <c r="N8" i="1"/>
  <c r="E7" i="1"/>
  <c r="I11" i="1" l="1"/>
  <c r="G17" i="1"/>
  <c r="G19" i="1" s="1"/>
  <c r="G21" i="1" s="1"/>
  <c r="G23" i="1" s="1"/>
  <c r="G25" i="1" s="1"/>
  <c r="G27" i="1" s="1"/>
  <c r="G29" i="1" s="1"/>
  <c r="F13" i="1"/>
  <c r="K11" i="1"/>
  <c r="E11" i="1"/>
  <c r="H30" i="1"/>
  <c r="I13" i="1" l="1"/>
  <c r="G30" i="1"/>
  <c r="F15" i="1"/>
  <c r="I15" i="1" s="1"/>
  <c r="K13" i="1"/>
  <c r="E13" i="1"/>
  <c r="N2" i="1"/>
  <c r="F17" i="1" l="1"/>
  <c r="F19" i="1"/>
  <c r="K17" i="1"/>
  <c r="K15" i="1"/>
  <c r="E15" i="1"/>
  <c r="I19" i="1" l="1"/>
  <c r="I17" i="1"/>
  <c r="F21" i="1"/>
  <c r="K19" i="1"/>
  <c r="E17" i="1"/>
  <c r="A8" i="1"/>
  <c r="I21" i="1" l="1"/>
  <c r="K21" i="1"/>
  <c r="F23" i="1"/>
  <c r="E19" i="1"/>
  <c r="C8" i="1"/>
  <c r="C9" i="1"/>
  <c r="I23" i="1" l="1"/>
  <c r="F25" i="1"/>
  <c r="K23" i="1"/>
  <c r="E21" i="1"/>
  <c r="A10" i="1"/>
  <c r="C10" i="1" s="1"/>
  <c r="D9" i="1"/>
  <c r="A9" i="1"/>
  <c r="D8" i="1"/>
  <c r="C11" i="1"/>
  <c r="I25" i="1" l="1"/>
  <c r="F27" i="1"/>
  <c r="K25" i="1"/>
  <c r="E23" i="1"/>
  <c r="A11" i="1"/>
  <c r="D10" i="1"/>
  <c r="A12" i="1"/>
  <c r="C12" i="1" s="1"/>
  <c r="D11" i="1"/>
  <c r="C13" i="1"/>
  <c r="I27" i="1" l="1"/>
  <c r="F29" i="1"/>
  <c r="K27" i="1"/>
  <c r="E25" i="1"/>
  <c r="A13" i="1"/>
  <c r="D12" i="1"/>
  <c r="A14" i="1"/>
  <c r="D13" i="1"/>
  <c r="C15" i="1"/>
  <c r="C14" i="1"/>
  <c r="I29" i="1" l="1"/>
  <c r="K29" i="1"/>
  <c r="E27" i="1"/>
  <c r="A15" i="1"/>
  <c r="D14" i="1"/>
  <c r="A16" i="1"/>
  <c r="D15" i="1"/>
  <c r="C16" i="1"/>
  <c r="C17" i="1"/>
  <c r="N6" i="1"/>
  <c r="K30" i="1" l="1"/>
  <c r="I30" i="1"/>
  <c r="E29" i="1"/>
  <c r="E30" i="1" s="1"/>
  <c r="F30" i="1"/>
  <c r="G31" i="1" s="1"/>
  <c r="G32" i="1" s="1"/>
  <c r="G34" i="1" s="1"/>
  <c r="A18" i="1"/>
  <c r="C18" i="1" s="1"/>
  <c r="D17" i="1"/>
  <c r="A17" i="1"/>
  <c r="D16" i="1"/>
  <c r="C19" i="1"/>
  <c r="L30" i="1" l="1"/>
  <c r="E32" i="1" s="1"/>
  <c r="E34" i="1" s="1"/>
  <c r="J30" i="1"/>
  <c r="A20" i="1"/>
  <c r="C21" i="1" s="1"/>
  <c r="D19" i="1"/>
  <c r="A19" i="1"/>
  <c r="D18" i="1"/>
  <c r="C20" i="1"/>
  <c r="E35" i="1" l="1"/>
  <c r="E36" i="1" s="1"/>
  <c r="E39" i="1"/>
  <c r="E37" i="1"/>
  <c r="A21" i="1"/>
  <c r="D20" i="1"/>
  <c r="A22" i="1"/>
  <c r="C22" i="1" s="1"/>
  <c r="D21" i="1"/>
  <c r="C23" i="1" l="1"/>
  <c r="D23" i="1" s="1"/>
  <c r="E38" i="1"/>
  <c r="E40" i="1" s="1"/>
  <c r="A23" i="1"/>
  <c r="D22" i="1"/>
  <c r="A24" i="1" l="1"/>
  <c r="M7" i="1"/>
  <c r="M25" i="1"/>
  <c r="N25" i="1" s="1"/>
  <c r="M19" i="1"/>
  <c r="N19" i="1" s="1"/>
  <c r="M27" i="1"/>
  <c r="N27" i="1" s="1"/>
  <c r="M15" i="1"/>
  <c r="N15" i="1" s="1"/>
  <c r="M23" i="1"/>
  <c r="N23" i="1" s="1"/>
  <c r="M11" i="1"/>
  <c r="N11" i="1" s="1"/>
  <c r="M29" i="1"/>
  <c r="N29" i="1" s="1"/>
  <c r="M13" i="1"/>
  <c r="N13" i="1" s="1"/>
  <c r="M9" i="1"/>
  <c r="N9" i="1" s="1"/>
  <c r="M21" i="1"/>
  <c r="N21" i="1" s="1"/>
  <c r="M17" i="1"/>
  <c r="N17" i="1" s="1"/>
  <c r="M31" i="1"/>
  <c r="C24" i="1" l="1"/>
  <c r="C25" i="1"/>
  <c r="N7" i="1"/>
  <c r="M30" i="1"/>
  <c r="M32" i="1" s="1"/>
  <c r="A26" i="1" l="1"/>
  <c r="D25" i="1"/>
  <c r="D24" i="1"/>
  <c r="A25" i="1"/>
  <c r="N30" i="1"/>
  <c r="C27" i="1" l="1"/>
  <c r="C26" i="1"/>
  <c r="A27" i="1" l="1"/>
  <c r="D26" i="1"/>
  <c r="D27" i="1"/>
  <c r="A28" i="1"/>
  <c r="C28" i="1" l="1"/>
  <c r="C29" i="1"/>
  <c r="D29" i="1" s="1"/>
  <c r="A29" i="1" l="1"/>
  <c r="D28" i="1"/>
</calcChain>
</file>

<file path=xl/sharedStrings.xml><?xml version="1.0" encoding="utf-8"?>
<sst xmlns="http://schemas.openxmlformats.org/spreadsheetml/2006/main" count="74" uniqueCount="46">
  <si>
    <t>Rate</t>
    <phoneticPr fontId="2"/>
  </si>
  <si>
    <t>Tax whithheld</t>
    <phoneticPr fontId="2"/>
  </si>
  <si>
    <t>Taxable Income</t>
    <phoneticPr fontId="2"/>
  </si>
  <si>
    <t>add</t>
    <phoneticPr fontId="2"/>
  </si>
  <si>
    <t>less</t>
    <phoneticPr fontId="2"/>
  </si>
  <si>
    <t>Net Pay</t>
    <phoneticPr fontId="2"/>
  </si>
  <si>
    <t>Fixed Salary Computation</t>
    <phoneticPr fontId="2"/>
  </si>
  <si>
    <t>Type</t>
    <phoneticPr fontId="4"/>
  </si>
  <si>
    <t>more than</t>
    <phoneticPr fontId="4"/>
  </si>
  <si>
    <t>not over</t>
    <phoneticPr fontId="4"/>
  </si>
  <si>
    <t>Base</t>
    <phoneticPr fontId="4"/>
  </si>
  <si>
    <t>Rate</t>
    <phoneticPr fontId="4"/>
  </si>
  <si>
    <t>Excess of</t>
    <phoneticPr fontId="4"/>
  </si>
  <si>
    <t>tax per year</t>
    <phoneticPr fontId="2"/>
  </si>
  <si>
    <t>Gross Salary</t>
    <phoneticPr fontId="2"/>
  </si>
  <si>
    <t>SSS</t>
    <phoneticPr fontId="2"/>
  </si>
  <si>
    <t>PagIbig</t>
    <phoneticPr fontId="2"/>
  </si>
  <si>
    <t>PhilHealth</t>
    <phoneticPr fontId="2"/>
  </si>
  <si>
    <t>Total</t>
    <phoneticPr fontId="4"/>
  </si>
  <si>
    <t>MECC</t>
    <phoneticPr fontId="4"/>
  </si>
  <si>
    <t>Taxable Amount</t>
    <phoneticPr fontId="2"/>
  </si>
  <si>
    <t>Annual Taxable Income</t>
    <phoneticPr fontId="2"/>
  </si>
  <si>
    <t>Pay day</t>
    <phoneticPr fontId="2"/>
  </si>
  <si>
    <t>From</t>
    <phoneticPr fontId="2"/>
  </si>
  <si>
    <t>to</t>
    <phoneticPr fontId="2"/>
  </si>
  <si>
    <t>To</t>
    <phoneticPr fontId="2"/>
  </si>
  <si>
    <t>Allowance</t>
    <phoneticPr fontId="2"/>
  </si>
  <si>
    <t>Coverage</t>
    <phoneticPr fontId="2"/>
  </si>
  <si>
    <t>Basic</t>
    <phoneticPr fontId="2"/>
  </si>
  <si>
    <t>13th</t>
    <phoneticPr fontId="2"/>
  </si>
  <si>
    <t>Rev-01</t>
    <phoneticPr fontId="2"/>
  </si>
  <si>
    <t>Deminimis</t>
    <phoneticPr fontId="2"/>
  </si>
  <si>
    <t>Other</t>
    <phoneticPr fontId="2"/>
  </si>
  <si>
    <t>Exceeded 90T</t>
    <phoneticPr fontId="2"/>
  </si>
  <si>
    <t>(nonTAX)</t>
    <phoneticPr fontId="2"/>
  </si>
  <si>
    <t>Check</t>
    <phoneticPr fontId="2"/>
  </si>
  <si>
    <t>(Under 90)</t>
    <phoneticPr fontId="2"/>
  </si>
  <si>
    <t>Limit</t>
    <phoneticPr fontId="2"/>
  </si>
  <si>
    <t>days after cut off</t>
    <phoneticPr fontId="2"/>
  </si>
  <si>
    <t>ABC Corp</t>
    <phoneticPr fontId="2"/>
  </si>
  <si>
    <t>Hiroshi Tanaka</t>
    <phoneticPr fontId="2"/>
  </si>
  <si>
    <t>ER(RSS)</t>
    <phoneticPr fontId="4"/>
  </si>
  <si>
    <t>ER(EC)</t>
    <phoneticPr fontId="4"/>
  </si>
  <si>
    <t>EE(RSS)</t>
    <phoneticPr fontId="4"/>
  </si>
  <si>
    <t>Mandatory(ER)</t>
    <phoneticPr fontId="4"/>
  </si>
  <si>
    <t>Mandatory(EE)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</si>
</sst>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-dd"/>
    <numFmt numFmtId="177" formatCode="#,##0.00_ ;[Red]\-#,##0.00\ "/>
  </numFmts>
  <fonts count="16" x14ac:knownFonts="1"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Verdana"/>
      <family val="2"/>
    </font>
    <font>
      <sz val="6"/>
      <name val="ＭＳ Ｐゴシック"/>
      <family val="3"/>
      <charset val="128"/>
    </font>
    <font>
      <sz val="14"/>
      <name val="Arial"/>
      <family val="2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Verdana"/>
      <family val="2"/>
    </font>
    <font>
      <sz val="14"/>
      <color rgb="FFFF0000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0" tint="-0.34998626667073579"/>
      <name val="Arial"/>
      <family val="2"/>
    </font>
    <font>
      <b/>
      <sz val="14"/>
      <color theme="0" tint="-0.34998626667073579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40" fontId="7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38" fontId="3" fillId="2" borderId="0" xfId="1" applyFont="1" applyFill="1" applyAlignment="1">
      <alignment horizontal="center"/>
    </xf>
    <xf numFmtId="40" fontId="3" fillId="2" borderId="0" xfId="2" applyFont="1" applyFill="1" applyAlignment="1">
      <alignment horizontal="center"/>
    </xf>
    <xf numFmtId="38" fontId="3" fillId="0" borderId="0" xfId="1" applyFont="1" applyAlignment="1"/>
    <xf numFmtId="40" fontId="0" fillId="0" borderId="0" xfId="2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Border="1">
      <alignment vertical="center"/>
    </xf>
    <xf numFmtId="40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4" fontId="5" fillId="0" borderId="0" xfId="0" applyNumberFormat="1" applyFont="1">
      <alignment vertical="center"/>
    </xf>
    <xf numFmtId="40" fontId="3" fillId="2" borderId="0" xfId="3" applyFont="1" applyFill="1" applyAlignment="1">
      <alignment horizontal="center"/>
    </xf>
    <xf numFmtId="40" fontId="3" fillId="3" borderId="0" xfId="3" applyFont="1" applyFill="1" applyAlignment="1">
      <alignment horizontal="center"/>
    </xf>
    <xf numFmtId="40" fontId="3" fillId="0" borderId="0" xfId="3" applyFont="1" applyAlignment="1">
      <alignment horizontal="center"/>
    </xf>
    <xf numFmtId="40" fontId="8" fillId="0" borderId="0" xfId="3" applyFont="1"/>
    <xf numFmtId="40" fontId="8" fillId="3" borderId="0" xfId="3" applyFont="1" applyFill="1"/>
    <xf numFmtId="40" fontId="3" fillId="6" borderId="0" xfId="3" applyFont="1" applyFill="1"/>
    <xf numFmtId="40" fontId="3" fillId="0" borderId="0" xfId="3" applyFont="1"/>
    <xf numFmtId="176" fontId="5" fillId="4" borderId="1" xfId="0" applyNumberFormat="1" applyFont="1" applyFill="1" applyBorder="1">
      <alignment vertical="center"/>
    </xf>
    <xf numFmtId="0" fontId="5" fillId="4" borderId="1" xfId="0" applyFont="1" applyFill="1" applyBorder="1">
      <alignment vertical="center"/>
    </xf>
    <xf numFmtId="176" fontId="5" fillId="4" borderId="0" xfId="0" applyNumberFormat="1" applyFont="1" applyFill="1">
      <alignment vertical="center"/>
    </xf>
    <xf numFmtId="0" fontId="5" fillId="4" borderId="0" xfId="0" applyFont="1" applyFill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0" fontId="5" fillId="4" borderId="0" xfId="1" applyNumberFormat="1" applyFont="1" applyFill="1">
      <alignment vertical="center"/>
    </xf>
    <xf numFmtId="40" fontId="5" fillId="4" borderId="1" xfId="1" applyNumberFormat="1" applyFont="1" applyFill="1" applyBorder="1">
      <alignment vertical="center"/>
    </xf>
    <xf numFmtId="40" fontId="5" fillId="4" borderId="0" xfId="0" applyNumberFormat="1" applyFont="1" applyFill="1">
      <alignment vertical="center"/>
    </xf>
    <xf numFmtId="40" fontId="5" fillId="4" borderId="2" xfId="1" applyNumberFormat="1" applyFont="1" applyFill="1" applyBorder="1">
      <alignment vertical="center"/>
    </xf>
    <xf numFmtId="40" fontId="5" fillId="4" borderId="3" xfId="1" applyNumberFormat="1" applyFont="1" applyFill="1" applyBorder="1">
      <alignment vertical="center"/>
    </xf>
    <xf numFmtId="0" fontId="5" fillId="0" borderId="6" xfId="0" applyFont="1" applyBorder="1">
      <alignment vertical="center"/>
    </xf>
    <xf numFmtId="40" fontId="5" fillId="0" borderId="6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38" fontId="5" fillId="4" borderId="0" xfId="1" applyFont="1" applyFill="1">
      <alignment vertical="center"/>
    </xf>
    <xf numFmtId="40" fontId="5" fillId="4" borderId="6" xfId="0" applyNumberFormat="1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40" fontId="5" fillId="4" borderId="0" xfId="3" applyFont="1" applyFill="1" applyAlignment="1">
      <alignment vertical="center"/>
    </xf>
    <xf numFmtId="40" fontId="5" fillId="4" borderId="1" xfId="3" applyFont="1" applyFill="1" applyBorder="1" applyAlignment="1">
      <alignment vertical="center"/>
    </xf>
    <xf numFmtId="176" fontId="5" fillId="5" borderId="0" xfId="0" applyNumberFormat="1" applyFont="1" applyFill="1">
      <alignment vertical="center"/>
    </xf>
    <xf numFmtId="0" fontId="5" fillId="5" borderId="0" xfId="0" applyFont="1" applyFill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0" fontId="9" fillId="4" borderId="4" xfId="1" applyNumberFormat="1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40" fontId="5" fillId="5" borderId="5" xfId="1" applyNumberFormat="1" applyFont="1" applyFill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40" fontId="5" fillId="4" borderId="11" xfId="1" applyNumberFormat="1" applyFont="1" applyFill="1" applyBorder="1">
      <alignment vertical="center"/>
    </xf>
    <xf numFmtId="0" fontId="5" fillId="0" borderId="12" xfId="0" applyFont="1" applyBorder="1">
      <alignment vertical="center"/>
    </xf>
    <xf numFmtId="40" fontId="5" fillId="0" borderId="13" xfId="1" applyNumberFormat="1" applyFont="1" applyBorder="1">
      <alignment vertical="center"/>
    </xf>
    <xf numFmtId="40" fontId="5" fillId="4" borderId="14" xfId="1" applyNumberFormat="1" applyFont="1" applyFill="1" applyBorder="1">
      <alignment vertical="center"/>
    </xf>
    <xf numFmtId="40" fontId="5" fillId="4" borderId="13" xfId="1" applyNumberFormat="1" applyFont="1" applyFill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40" fontId="11" fillId="4" borderId="17" xfId="1" applyNumberFormat="1" applyFont="1" applyFill="1" applyBorder="1">
      <alignment vertical="center"/>
    </xf>
    <xf numFmtId="0" fontId="11" fillId="0" borderId="6" xfId="0" applyFont="1" applyBorder="1">
      <alignment vertical="center"/>
    </xf>
    <xf numFmtId="40" fontId="11" fillId="4" borderId="6" xfId="0" applyNumberFormat="1" applyFont="1" applyFill="1" applyBorder="1">
      <alignment vertical="center"/>
    </xf>
    <xf numFmtId="40" fontId="11" fillId="4" borderId="18" xfId="0" applyNumberFormat="1" applyFont="1" applyFill="1" applyBorder="1">
      <alignment vertical="center"/>
    </xf>
    <xf numFmtId="40" fontId="11" fillId="4" borderId="19" xfId="0" applyNumberFormat="1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桁区切り" xfId="1" builtinId="6"/>
    <cellStyle name="桁区切り [0.00]" xfId="2" builtinId="3"/>
    <cellStyle name="桁区切り [0.00] 2" xfId="3" xr:uid="{00000000-0005-0000-0000-000003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$K$4" lockText="1" noThreeD="1"/>
</file>

<file path=xl/ctrlProps/ctrlProp2.xml><?xml version="1.0" encoding="utf-8"?>
<formControlPr xmlns="http://schemas.microsoft.com/office/spreadsheetml/2009/9/main" objectType="CheckBox" checked="Checked" fmlaLink="$H$3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</xdr:row>
          <xdr:rowOff>66675</xdr:rowOff>
        </xdr:from>
        <xdr:to>
          <xdr:col>10</xdr:col>
          <xdr:colOff>114300</xdr:colOff>
          <xdr:row>3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With contribution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30</xdr:row>
          <xdr:rowOff>0</xdr:rowOff>
        </xdr:from>
        <xdr:to>
          <xdr:col>5</xdr:col>
          <xdr:colOff>1162050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13th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showGridLines="0" tabSelected="1" zoomScale="85" zoomScaleNormal="85" workbookViewId="0">
      <selection activeCell="L7" sqref="L7"/>
    </sheetView>
  </sheetViews>
  <sheetFormatPr defaultRowHeight="18" x14ac:dyDescent="0.2"/>
  <cols>
    <col min="1" max="1" width="9.8984375" style="5" bestFit="1" customWidth="1"/>
    <col min="2" max="2" width="3.3984375" style="5" customWidth="1"/>
    <col min="3" max="3" width="8.09765625" style="5" bestFit="1" customWidth="1"/>
    <col min="4" max="4" width="13.8984375" style="5" customWidth="1"/>
    <col min="5" max="5" width="12.8984375" style="5" customWidth="1"/>
    <col min="6" max="6" width="13" style="5" bestFit="1" customWidth="1"/>
    <col min="7" max="7" width="13" style="5" customWidth="1"/>
    <col min="8" max="8" width="11.296875" style="5" bestFit="1" customWidth="1"/>
    <col min="9" max="9" width="9.796875" style="5" customWidth="1"/>
    <col min="10" max="10" width="9.796875" style="5" bestFit="1" customWidth="1"/>
    <col min="11" max="11" width="9" style="5" bestFit="1" customWidth="1"/>
    <col min="12" max="12" width="15.5" style="5" bestFit="1" customWidth="1"/>
    <col min="13" max="13" width="13" style="5" bestFit="1" customWidth="1"/>
    <col min="14" max="14" width="13.5" style="5" customWidth="1"/>
    <col min="15" max="15" width="10.5" style="5" customWidth="1"/>
    <col min="16" max="16" width="10.796875" style="5" bestFit="1" customWidth="1"/>
    <col min="17" max="17" width="10.19921875" style="5" bestFit="1" customWidth="1"/>
    <col min="18" max="16384" width="8.796875" style="5"/>
  </cols>
  <sheetData>
    <row r="1" spans="1:18" x14ac:dyDescent="0.2">
      <c r="A1" s="68">
        <v>2023</v>
      </c>
      <c r="B1" s="68"/>
      <c r="C1" s="68"/>
      <c r="D1" s="5" t="s">
        <v>39</v>
      </c>
      <c r="F1" s="5" t="s">
        <v>6</v>
      </c>
      <c r="N1" s="5" t="s">
        <v>30</v>
      </c>
    </row>
    <row r="2" spans="1:18" x14ac:dyDescent="0.2">
      <c r="A2" s="68"/>
      <c r="B2" s="68"/>
      <c r="C2" s="68"/>
      <c r="D2" s="5" t="s">
        <v>40</v>
      </c>
      <c r="N2" s="13">
        <f ca="1">TODAY()</f>
        <v>44994</v>
      </c>
    </row>
    <row r="3" spans="1:18" x14ac:dyDescent="0.2">
      <c r="A3" s="67"/>
      <c r="B3" s="67"/>
      <c r="C3" s="67"/>
      <c r="E3" s="6"/>
      <c r="F3" s="6"/>
      <c r="G3" s="25" t="s">
        <v>32</v>
      </c>
      <c r="H3" s="25" t="s">
        <v>31</v>
      </c>
      <c r="I3" s="66"/>
      <c r="J3" s="6"/>
      <c r="K3" s="6"/>
      <c r="L3" s="66"/>
      <c r="O3"/>
      <c r="P3"/>
      <c r="Q3"/>
    </row>
    <row r="4" spans="1:18" ht="18.75" x14ac:dyDescent="0.2">
      <c r="A4" s="67" t="s">
        <v>27</v>
      </c>
      <c r="B4" s="67"/>
      <c r="C4" s="67"/>
      <c r="D4" s="42">
        <v>5</v>
      </c>
      <c r="E4" s="47" t="s">
        <v>38</v>
      </c>
      <c r="F4" s="6"/>
      <c r="G4" s="43" t="s">
        <v>26</v>
      </c>
      <c r="H4" s="44" t="s">
        <v>26</v>
      </c>
      <c r="I4" s="6"/>
      <c r="J4" s="6"/>
      <c r="K4" s="51" t="b">
        <v>1</v>
      </c>
      <c r="L4" s="66"/>
      <c r="O4"/>
      <c r="P4"/>
      <c r="Q4"/>
    </row>
    <row r="5" spans="1:18" x14ac:dyDescent="0.2">
      <c r="A5" s="7" t="s">
        <v>23</v>
      </c>
      <c r="B5" s="7"/>
      <c r="C5" s="7" t="s">
        <v>25</v>
      </c>
      <c r="D5" s="7" t="s">
        <v>22</v>
      </c>
      <c r="E5" s="7" t="s">
        <v>14</v>
      </c>
      <c r="F5" s="26" t="s">
        <v>28</v>
      </c>
      <c r="G5" s="38" t="s">
        <v>36</v>
      </c>
      <c r="H5" s="27" t="s">
        <v>34</v>
      </c>
      <c r="I5" s="26" t="s">
        <v>15</v>
      </c>
      <c r="J5" s="7" t="s">
        <v>17</v>
      </c>
      <c r="K5" s="7" t="s">
        <v>16</v>
      </c>
      <c r="L5" s="26" t="s">
        <v>20</v>
      </c>
      <c r="M5" s="7" t="s">
        <v>1</v>
      </c>
      <c r="N5" s="7" t="s">
        <v>5</v>
      </c>
      <c r="O5"/>
      <c r="P5"/>
      <c r="Q5"/>
    </row>
    <row r="6" spans="1:18" x14ac:dyDescent="0.2">
      <c r="A6" s="41">
        <v>43466</v>
      </c>
      <c r="B6" s="24" t="s">
        <v>24</v>
      </c>
      <c r="C6" s="23">
        <f>A6+14</f>
        <v>43480</v>
      </c>
      <c r="D6" s="23">
        <f>C6+$D$4</f>
        <v>43485</v>
      </c>
      <c r="E6" s="28"/>
      <c r="F6" s="45"/>
      <c r="G6" s="45"/>
      <c r="H6" s="45"/>
      <c r="I6" s="31"/>
      <c r="J6" s="28"/>
      <c r="K6" s="28"/>
      <c r="L6" s="31"/>
      <c r="M6" s="28"/>
      <c r="N6" s="28">
        <f>E6-M6</f>
        <v>0</v>
      </c>
      <c r="O6"/>
      <c r="P6"/>
      <c r="Q6"/>
    </row>
    <row r="7" spans="1:18" x14ac:dyDescent="0.2">
      <c r="A7" s="21">
        <f>C6+1</f>
        <v>43481</v>
      </c>
      <c r="B7" s="22" t="s">
        <v>24</v>
      </c>
      <c r="C7" s="21">
        <f>DATE(YEAR(A6),MONTH(A6)+1,DAY(A6)-1)</f>
        <v>43496</v>
      </c>
      <c r="D7" s="21">
        <f t="shared" ref="D7:D29" si="0">C7+$D$4</f>
        <v>43501</v>
      </c>
      <c r="E7" s="29">
        <f>F7+H7+G7</f>
        <v>33000</v>
      </c>
      <c r="F7" s="48">
        <v>28000</v>
      </c>
      <c r="G7" s="48">
        <v>3000</v>
      </c>
      <c r="H7" s="48">
        <v>2000</v>
      </c>
      <c r="I7" s="32">
        <f>IF(AND($K$4,F7&gt;0),VLOOKUP(F7,SSS!$A$1:$F$54,5),0)</f>
        <v>1260</v>
      </c>
      <c r="J7" s="29">
        <f>IF(AND($K$4,F7&gt;0),IF(VLOOKUP(F7,Phil!$A$1:$C$40,3)&lt;&gt;0,VLOOKUP(F7,Phil!$A$1:$C$40,3),F7*0.04)/2,0)</f>
        <v>560</v>
      </c>
      <c r="K7" s="29">
        <f>IF(AND($K$4,F7&gt;0),MIN(F7*0.02,100),0)</f>
        <v>100</v>
      </c>
      <c r="L7" s="32">
        <f>F7-(I7+J7+K7)</f>
        <v>26080</v>
      </c>
      <c r="M7" s="29">
        <f>$E$40/12</f>
        <v>787</v>
      </c>
      <c r="N7" s="29">
        <f>E7-(I7+J7+K7+M7)</f>
        <v>30293</v>
      </c>
      <c r="O7"/>
      <c r="P7"/>
      <c r="Q7"/>
    </row>
    <row r="8" spans="1:18" x14ac:dyDescent="0.2">
      <c r="A8" s="23">
        <f>C7+1</f>
        <v>43497</v>
      </c>
      <c r="B8" s="24" t="s">
        <v>24</v>
      </c>
      <c r="C8" s="23">
        <f>A8+14</f>
        <v>43511</v>
      </c>
      <c r="D8" s="23">
        <f t="shared" si="0"/>
        <v>43516</v>
      </c>
      <c r="E8" s="28"/>
      <c r="F8" s="45"/>
      <c r="G8" s="45"/>
      <c r="H8" s="45"/>
      <c r="I8" s="31"/>
      <c r="J8" s="28"/>
      <c r="K8" s="28"/>
      <c r="L8" s="31"/>
      <c r="M8" s="28"/>
      <c r="N8" s="28">
        <f t="shared" ref="N8" si="1">E8-M8</f>
        <v>0</v>
      </c>
      <c r="O8"/>
      <c r="P8"/>
      <c r="Q8"/>
    </row>
    <row r="9" spans="1:18" x14ac:dyDescent="0.2">
      <c r="A9" s="21">
        <f>C8+1</f>
        <v>43512</v>
      </c>
      <c r="B9" s="22" t="s">
        <v>24</v>
      </c>
      <c r="C9" s="21">
        <f>DATE(YEAR(A8),MONTH(A8)+1,DAY(A8)-1)</f>
        <v>43524</v>
      </c>
      <c r="D9" s="21">
        <f t="shared" si="0"/>
        <v>43529</v>
      </c>
      <c r="E9" s="29">
        <f t="shared" ref="E9" si="2">F9+H9+G9</f>
        <v>33000</v>
      </c>
      <c r="F9" s="48">
        <f>F7</f>
        <v>28000</v>
      </c>
      <c r="G9" s="48">
        <f>G7</f>
        <v>3000</v>
      </c>
      <c r="H9" s="48">
        <f>H7</f>
        <v>2000</v>
      </c>
      <c r="I9" s="32">
        <f>IF(AND($K$4,F9&gt;0),VLOOKUP(F9,SSS!$A$1:$F$54,5),0)</f>
        <v>1260</v>
      </c>
      <c r="J9" s="29">
        <f>IF(AND($K$4,F9&gt;0),IF(VLOOKUP(F9,Phil!$A$1:$C$40,3)&lt;&gt;0,VLOOKUP(F9,Phil!$A$1:$C$40,3),F9*0.04)/2,0)</f>
        <v>560</v>
      </c>
      <c r="K9" s="29">
        <f t="shared" ref="K9" si="3">IF(AND($K$4,F9&gt;0),MIN(F9*0.02,100),0)</f>
        <v>100</v>
      </c>
      <c r="L9" s="32">
        <f>L7</f>
        <v>26080</v>
      </c>
      <c r="M9" s="29">
        <f>$E$40/12</f>
        <v>787</v>
      </c>
      <c r="N9" s="29">
        <f t="shared" ref="N9" si="4">E9-(I9+J9+K9+M9)</f>
        <v>30293</v>
      </c>
      <c r="O9"/>
      <c r="P9"/>
      <c r="Q9"/>
      <c r="R9"/>
    </row>
    <row r="10" spans="1:18" x14ac:dyDescent="0.2">
      <c r="A10" s="23">
        <f t="shared" ref="A10:A29" si="5">C9+1</f>
        <v>43525</v>
      </c>
      <c r="B10" s="24" t="s">
        <v>24</v>
      </c>
      <c r="C10" s="23">
        <f t="shared" ref="C10" si="6">A10+14</f>
        <v>43539</v>
      </c>
      <c r="D10" s="23">
        <f t="shared" si="0"/>
        <v>43544</v>
      </c>
      <c r="E10" s="28"/>
      <c r="F10" s="45"/>
      <c r="G10" s="45"/>
      <c r="H10" s="45"/>
      <c r="I10" s="31"/>
      <c r="J10" s="28"/>
      <c r="K10" s="28"/>
      <c r="L10" s="31"/>
      <c r="M10" s="28"/>
      <c r="N10" s="28">
        <f t="shared" ref="N10" si="7">E10-M10</f>
        <v>0</v>
      </c>
      <c r="P10"/>
      <c r="Q10"/>
      <c r="R10"/>
    </row>
    <row r="11" spans="1:18" x14ac:dyDescent="0.2">
      <c r="A11" s="21">
        <f t="shared" si="5"/>
        <v>43540</v>
      </c>
      <c r="B11" s="22" t="s">
        <v>24</v>
      </c>
      <c r="C11" s="21">
        <f t="shared" ref="C11" si="8">DATE(YEAR(A10),MONTH(A10)+1,DAY(A10)-1)</f>
        <v>43555</v>
      </c>
      <c r="D11" s="21">
        <f t="shared" si="0"/>
        <v>43560</v>
      </c>
      <c r="E11" s="29">
        <f t="shared" ref="E11" si="9">F11+H11+G11</f>
        <v>33000</v>
      </c>
      <c r="F11" s="48">
        <f>F9</f>
        <v>28000</v>
      </c>
      <c r="G11" s="48">
        <f>G9</f>
        <v>3000</v>
      </c>
      <c r="H11" s="48">
        <f>H9</f>
        <v>2000</v>
      </c>
      <c r="I11" s="32">
        <f>IF(AND($K$4,F11&gt;0),VLOOKUP(F11,SSS!$A$1:$F$54,5),0)</f>
        <v>1260</v>
      </c>
      <c r="J11" s="29">
        <f>IF(AND($K$4,F11&gt;0),IF(VLOOKUP(F11,Phil!$A$1:$C$40,3)&lt;&gt;0,VLOOKUP(F11,Phil!$A$1:$C$40,3),F11*0.04)/2,0)</f>
        <v>560</v>
      </c>
      <c r="K11" s="29">
        <f t="shared" ref="K11" si="10">IF(AND($K$4,F11&gt;0),MIN(F11*0.02,100),0)</f>
        <v>100</v>
      </c>
      <c r="L11" s="32">
        <f>L9</f>
        <v>26080</v>
      </c>
      <c r="M11" s="29">
        <f>$E$40/12</f>
        <v>787</v>
      </c>
      <c r="N11" s="29">
        <f t="shared" ref="N11" si="11">E11-(I11+J11+K11+M11)</f>
        <v>30293</v>
      </c>
      <c r="P11"/>
      <c r="Q11"/>
      <c r="R11"/>
    </row>
    <row r="12" spans="1:18" x14ac:dyDescent="0.2">
      <c r="A12" s="23">
        <f t="shared" si="5"/>
        <v>43556</v>
      </c>
      <c r="B12" s="24" t="s">
        <v>24</v>
      </c>
      <c r="C12" s="23">
        <f t="shared" ref="C12" si="12">A12+14</f>
        <v>43570</v>
      </c>
      <c r="D12" s="23">
        <f t="shared" si="0"/>
        <v>43575</v>
      </c>
      <c r="E12" s="28"/>
      <c r="F12" s="45"/>
      <c r="G12" s="45"/>
      <c r="H12" s="45"/>
      <c r="I12" s="31"/>
      <c r="J12" s="28"/>
      <c r="K12" s="28"/>
      <c r="L12" s="31"/>
      <c r="M12" s="28"/>
      <c r="N12" s="28">
        <f t="shared" ref="N12" si="13">E12-M12</f>
        <v>0</v>
      </c>
      <c r="P12"/>
      <c r="Q12"/>
      <c r="R12"/>
    </row>
    <row r="13" spans="1:18" x14ac:dyDescent="0.2">
      <c r="A13" s="21">
        <f t="shared" si="5"/>
        <v>43571</v>
      </c>
      <c r="B13" s="22" t="s">
        <v>24</v>
      </c>
      <c r="C13" s="21">
        <f t="shared" ref="C13" si="14">DATE(YEAR(A12),MONTH(A12)+1,DAY(A12)-1)</f>
        <v>43585</v>
      </c>
      <c r="D13" s="21">
        <f t="shared" si="0"/>
        <v>43590</v>
      </c>
      <c r="E13" s="29">
        <f t="shared" ref="E13" si="15">F13+H13+G13</f>
        <v>33000</v>
      </c>
      <c r="F13" s="48">
        <f t="shared" ref="F13:H13" si="16">F11</f>
        <v>28000</v>
      </c>
      <c r="G13" s="48">
        <f t="shared" si="16"/>
        <v>3000</v>
      </c>
      <c r="H13" s="48">
        <f t="shared" si="16"/>
        <v>2000</v>
      </c>
      <c r="I13" s="32">
        <f>IF(AND($K$4,F13&gt;0),VLOOKUP(F13,SSS!$A$1:$F$54,5),0)</f>
        <v>1260</v>
      </c>
      <c r="J13" s="29">
        <f>IF(AND($K$4,F13&gt;0),IF(VLOOKUP(F13,Phil!$A$1:$C$40,3)&lt;&gt;0,VLOOKUP(F13,Phil!$A$1:$C$40,3),F13*0.04)/2,0)</f>
        <v>560</v>
      </c>
      <c r="K13" s="29">
        <f t="shared" ref="K13" si="17">IF(AND($K$4,F13&gt;0),MIN(F13*0.02,100),0)</f>
        <v>100</v>
      </c>
      <c r="L13" s="32">
        <f>L11</f>
        <v>26080</v>
      </c>
      <c r="M13" s="29">
        <f>$E$40/12</f>
        <v>787</v>
      </c>
      <c r="N13" s="29">
        <f t="shared" ref="N13" si="18">E13-(I13+J13+K13+M13)</f>
        <v>30293</v>
      </c>
      <c r="P13"/>
      <c r="Q13"/>
      <c r="R13"/>
    </row>
    <row r="14" spans="1:18" x14ac:dyDescent="0.2">
      <c r="A14" s="23">
        <f t="shared" si="5"/>
        <v>43586</v>
      </c>
      <c r="B14" s="24" t="s">
        <v>24</v>
      </c>
      <c r="C14" s="23">
        <f t="shared" ref="C14" si="19">A14+14</f>
        <v>43600</v>
      </c>
      <c r="D14" s="23">
        <f t="shared" si="0"/>
        <v>43605</v>
      </c>
      <c r="E14" s="28"/>
      <c r="F14" s="45"/>
      <c r="G14" s="45"/>
      <c r="H14" s="45"/>
      <c r="I14" s="31"/>
      <c r="J14" s="28"/>
      <c r="K14" s="28"/>
      <c r="L14" s="31"/>
      <c r="M14" s="28"/>
      <c r="N14" s="28">
        <f t="shared" ref="N14" si="20">E14-M14</f>
        <v>0</v>
      </c>
      <c r="P14"/>
      <c r="Q14"/>
      <c r="R14"/>
    </row>
    <row r="15" spans="1:18" x14ac:dyDescent="0.2">
      <c r="A15" s="21">
        <f t="shared" si="5"/>
        <v>43601</v>
      </c>
      <c r="B15" s="22" t="s">
        <v>24</v>
      </c>
      <c r="C15" s="21">
        <f t="shared" ref="C15" si="21">DATE(YEAR(A14),MONTH(A14)+1,DAY(A14)-1)</f>
        <v>43616</v>
      </c>
      <c r="D15" s="21">
        <f t="shared" si="0"/>
        <v>43621</v>
      </c>
      <c r="E15" s="29">
        <f t="shared" ref="E15" si="22">F15+H15+G15</f>
        <v>33000</v>
      </c>
      <c r="F15" s="48">
        <f t="shared" ref="F15:H15" si="23">F13</f>
        <v>28000</v>
      </c>
      <c r="G15" s="48">
        <f t="shared" si="23"/>
        <v>3000</v>
      </c>
      <c r="H15" s="48">
        <f t="shared" si="23"/>
        <v>2000</v>
      </c>
      <c r="I15" s="32">
        <f>IF(AND($K$4,F15&gt;0),VLOOKUP(F15,SSS!$A$1:$F$54,5),0)</f>
        <v>1260</v>
      </c>
      <c r="J15" s="29">
        <f>IF(AND($K$4,F15&gt;0),IF(VLOOKUP(F15,Phil!$A$1:$C$40,3)&lt;&gt;0,VLOOKUP(F15,Phil!$A$1:$C$40,3),F15*0.04)/2,0)</f>
        <v>560</v>
      </c>
      <c r="K15" s="29">
        <f t="shared" ref="K15" si="24">IF(AND($K$4,F15&gt;0),MIN(F15*0.02,100),0)</f>
        <v>100</v>
      </c>
      <c r="L15" s="32">
        <f>L13</f>
        <v>26080</v>
      </c>
      <c r="M15" s="29">
        <f>$E$40/12</f>
        <v>787</v>
      </c>
      <c r="N15" s="29">
        <f t="shared" ref="N15" si="25">E15-(I15+J15+K15+M15)</f>
        <v>30293</v>
      </c>
      <c r="P15"/>
      <c r="Q15"/>
      <c r="R15"/>
    </row>
    <row r="16" spans="1:18" x14ac:dyDescent="0.2">
      <c r="A16" s="23">
        <f t="shared" si="5"/>
        <v>43617</v>
      </c>
      <c r="B16" s="24" t="s">
        <v>24</v>
      </c>
      <c r="C16" s="23">
        <f t="shared" ref="C16" si="26">A16+14</f>
        <v>43631</v>
      </c>
      <c r="D16" s="23">
        <f t="shared" si="0"/>
        <v>43636</v>
      </c>
      <c r="E16" s="28"/>
      <c r="F16" s="45"/>
      <c r="G16" s="45"/>
      <c r="H16" s="45"/>
      <c r="I16" s="31"/>
      <c r="J16" s="28"/>
      <c r="K16" s="28"/>
      <c r="L16" s="31"/>
      <c r="M16" s="28"/>
      <c r="N16" s="28">
        <f t="shared" ref="N16" si="27">E16-M16</f>
        <v>0</v>
      </c>
      <c r="P16"/>
      <c r="Q16"/>
      <c r="R16"/>
    </row>
    <row r="17" spans="1:18" x14ac:dyDescent="0.2">
      <c r="A17" s="21">
        <f t="shared" si="5"/>
        <v>43632</v>
      </c>
      <c r="B17" s="22" t="s">
        <v>24</v>
      </c>
      <c r="C17" s="21">
        <f t="shared" ref="C17" si="28">DATE(YEAR(A16),MONTH(A16)+1,DAY(A16)-1)</f>
        <v>43646</v>
      </c>
      <c r="D17" s="21">
        <f t="shared" si="0"/>
        <v>43651</v>
      </c>
      <c r="E17" s="29">
        <f t="shared" ref="E17" si="29">F17+H17+G17</f>
        <v>33000</v>
      </c>
      <c r="F17" s="48">
        <f t="shared" ref="F17:H17" si="30">F15</f>
        <v>28000</v>
      </c>
      <c r="G17" s="48">
        <f t="shared" si="30"/>
        <v>3000</v>
      </c>
      <c r="H17" s="48">
        <f t="shared" si="30"/>
        <v>2000</v>
      </c>
      <c r="I17" s="32">
        <f>IF(AND($K$4,F17&gt;0),VLOOKUP(F17,SSS!$A$1:$F$54,5),0)</f>
        <v>1260</v>
      </c>
      <c r="J17" s="29">
        <f>IF(AND($K$4,F17&gt;0),IF(VLOOKUP(F17,Phil!$A$1:$C$40,3)&lt;&gt;0,VLOOKUP(F17,Phil!$A$1:$C$40,3),F17*0.04)/2,0)</f>
        <v>560</v>
      </c>
      <c r="K17" s="29">
        <f t="shared" ref="K17" si="31">IF(AND($K$4,F17&gt;0),MIN(F17*0.02,100),0)</f>
        <v>100</v>
      </c>
      <c r="L17" s="32">
        <f>L15</f>
        <v>26080</v>
      </c>
      <c r="M17" s="29">
        <f>$E$40/12</f>
        <v>787</v>
      </c>
      <c r="N17" s="29">
        <f t="shared" ref="N17" si="32">E17-(I17+J17+K17+M17)</f>
        <v>30293</v>
      </c>
      <c r="P17"/>
      <c r="Q17"/>
      <c r="R17"/>
    </row>
    <row r="18" spans="1:18" x14ac:dyDescent="0.2">
      <c r="A18" s="23">
        <f t="shared" si="5"/>
        <v>43647</v>
      </c>
      <c r="B18" s="24" t="s">
        <v>24</v>
      </c>
      <c r="C18" s="23">
        <f t="shared" ref="C18" si="33">A18+14</f>
        <v>43661</v>
      </c>
      <c r="D18" s="23">
        <f t="shared" si="0"/>
        <v>43666</v>
      </c>
      <c r="E18" s="28"/>
      <c r="F18" s="45"/>
      <c r="G18" s="45"/>
      <c r="H18" s="45"/>
      <c r="I18" s="31"/>
      <c r="J18" s="28"/>
      <c r="K18" s="28"/>
      <c r="L18" s="31"/>
      <c r="M18" s="28"/>
      <c r="N18" s="28">
        <f t="shared" ref="N18" si="34">E18-M18</f>
        <v>0</v>
      </c>
      <c r="P18"/>
      <c r="Q18"/>
      <c r="R18"/>
    </row>
    <row r="19" spans="1:18" x14ac:dyDescent="0.2">
      <c r="A19" s="21">
        <f t="shared" si="5"/>
        <v>43662</v>
      </c>
      <c r="B19" s="22" t="s">
        <v>24</v>
      </c>
      <c r="C19" s="21">
        <f t="shared" ref="C19" si="35">DATE(YEAR(A18),MONTH(A18)+1,DAY(A18)-1)</f>
        <v>43677</v>
      </c>
      <c r="D19" s="21">
        <f t="shared" si="0"/>
        <v>43682</v>
      </c>
      <c r="E19" s="29">
        <f t="shared" ref="E19" si="36">F19+H19+G19</f>
        <v>33000</v>
      </c>
      <c r="F19" s="48">
        <f t="shared" ref="F19:H19" si="37">F17</f>
        <v>28000</v>
      </c>
      <c r="G19" s="48">
        <f t="shared" si="37"/>
        <v>3000</v>
      </c>
      <c r="H19" s="48">
        <f t="shared" si="37"/>
        <v>2000</v>
      </c>
      <c r="I19" s="32">
        <f>IF(AND($K$4,F19&gt;0),VLOOKUP(F19,SSS!$A$1:$F$54,5),0)</f>
        <v>1260</v>
      </c>
      <c r="J19" s="29">
        <f>IF(AND($K$4,F19&gt;0),IF(VLOOKUP(F19,Phil!$A$1:$C$40,3)&lt;&gt;0,VLOOKUP(F19,Phil!$A$1:$C$40,3),F19*0.04)/2,0)</f>
        <v>560</v>
      </c>
      <c r="K19" s="29">
        <f t="shared" ref="K19" si="38">IF(AND($K$4,F19&gt;0),MIN(F19*0.02,100),0)</f>
        <v>100</v>
      </c>
      <c r="L19" s="32">
        <f>L17</f>
        <v>26080</v>
      </c>
      <c r="M19" s="29">
        <f>$E$40/12</f>
        <v>787</v>
      </c>
      <c r="N19" s="29">
        <f t="shared" ref="N19" si="39">E19-(I19+J19+K19+M19)</f>
        <v>30293</v>
      </c>
      <c r="P19"/>
      <c r="Q19"/>
      <c r="R19"/>
    </row>
    <row r="20" spans="1:18" x14ac:dyDescent="0.2">
      <c r="A20" s="23">
        <f t="shared" si="5"/>
        <v>43678</v>
      </c>
      <c r="B20" s="24" t="s">
        <v>24</v>
      </c>
      <c r="C20" s="23">
        <f t="shared" ref="C20" si="40">A20+14</f>
        <v>43692</v>
      </c>
      <c r="D20" s="23">
        <f t="shared" si="0"/>
        <v>43697</v>
      </c>
      <c r="E20" s="28"/>
      <c r="F20" s="45"/>
      <c r="G20" s="45"/>
      <c r="H20" s="45"/>
      <c r="I20" s="31"/>
      <c r="J20" s="28"/>
      <c r="K20" s="28"/>
      <c r="L20" s="31"/>
      <c r="M20" s="28"/>
      <c r="N20" s="28">
        <f t="shared" ref="N20" si="41">E20-M20</f>
        <v>0</v>
      </c>
      <c r="P20"/>
      <c r="Q20"/>
      <c r="R20"/>
    </row>
    <row r="21" spans="1:18" x14ac:dyDescent="0.2">
      <c r="A21" s="21">
        <f t="shared" si="5"/>
        <v>43693</v>
      </c>
      <c r="B21" s="22" t="s">
        <v>24</v>
      </c>
      <c r="C21" s="21">
        <f t="shared" ref="C21" si="42">DATE(YEAR(A20),MONTH(A20)+1,DAY(A20)-1)</f>
        <v>43708</v>
      </c>
      <c r="D21" s="21">
        <f t="shared" si="0"/>
        <v>43713</v>
      </c>
      <c r="E21" s="29">
        <f t="shared" ref="E21" si="43">F21+H21+G21</f>
        <v>33000</v>
      </c>
      <c r="F21" s="48">
        <f t="shared" ref="F21:H21" si="44">F19</f>
        <v>28000</v>
      </c>
      <c r="G21" s="48">
        <f t="shared" si="44"/>
        <v>3000</v>
      </c>
      <c r="H21" s="48">
        <f t="shared" si="44"/>
        <v>2000</v>
      </c>
      <c r="I21" s="32">
        <f>IF(AND($K$4,F21&gt;0),VLOOKUP(F21,SSS!$A$1:$F$54,5),0)</f>
        <v>1260</v>
      </c>
      <c r="J21" s="29">
        <f>IF(AND($K$4,F21&gt;0),IF(VLOOKUP(F21,Phil!$A$1:$C$40,3)&lt;&gt;0,VLOOKUP(F21,Phil!$A$1:$C$40,3),F21*0.04)/2,0)</f>
        <v>560</v>
      </c>
      <c r="K21" s="29">
        <f t="shared" ref="K21" si="45">IF(AND($K$4,F21&gt;0),MIN(F21*0.02,100),0)</f>
        <v>100</v>
      </c>
      <c r="L21" s="32">
        <f>L19</f>
        <v>26080</v>
      </c>
      <c r="M21" s="29">
        <f>$E$40/12</f>
        <v>787</v>
      </c>
      <c r="N21" s="29">
        <f t="shared" ref="N21" si="46">E21-(I21+J21+K21+M21)</f>
        <v>30293</v>
      </c>
      <c r="P21"/>
      <c r="Q21"/>
      <c r="R21"/>
    </row>
    <row r="22" spans="1:18" x14ac:dyDescent="0.2">
      <c r="A22" s="23">
        <f t="shared" si="5"/>
        <v>43709</v>
      </c>
      <c r="B22" s="24" t="s">
        <v>24</v>
      </c>
      <c r="C22" s="23">
        <f t="shared" ref="C22" si="47">A22+14</f>
        <v>43723</v>
      </c>
      <c r="D22" s="23">
        <f t="shared" si="0"/>
        <v>43728</v>
      </c>
      <c r="E22" s="28"/>
      <c r="F22" s="45"/>
      <c r="G22" s="45"/>
      <c r="H22" s="45"/>
      <c r="I22" s="31"/>
      <c r="J22" s="28"/>
      <c r="K22" s="28"/>
      <c r="L22" s="31"/>
      <c r="M22" s="28"/>
      <c r="N22" s="28">
        <f t="shared" ref="N22" si="48">E22-M22</f>
        <v>0</v>
      </c>
      <c r="P22"/>
      <c r="Q22"/>
      <c r="R22"/>
    </row>
    <row r="23" spans="1:18" x14ac:dyDescent="0.2">
      <c r="A23" s="21">
        <f t="shared" si="5"/>
        <v>43724</v>
      </c>
      <c r="B23" s="22" t="s">
        <v>24</v>
      </c>
      <c r="C23" s="21">
        <f t="shared" ref="C23" si="49">DATE(YEAR(A22),MONTH(A22)+1,DAY(A22)-1)</f>
        <v>43738</v>
      </c>
      <c r="D23" s="21">
        <f t="shared" si="0"/>
        <v>43743</v>
      </c>
      <c r="E23" s="29">
        <f t="shared" ref="E23" si="50">F23+H23+G23</f>
        <v>33000</v>
      </c>
      <c r="F23" s="48">
        <f t="shared" ref="F23:H23" si="51">F21</f>
        <v>28000</v>
      </c>
      <c r="G23" s="48">
        <f t="shared" si="51"/>
        <v>3000</v>
      </c>
      <c r="H23" s="48">
        <f t="shared" si="51"/>
        <v>2000</v>
      </c>
      <c r="I23" s="32">
        <f>IF(AND($K$4,F23&gt;0),VLOOKUP(F23,SSS!$A$1:$F$54,5),0)</f>
        <v>1260</v>
      </c>
      <c r="J23" s="29">
        <f>IF(AND($K$4,F23&gt;0),IF(VLOOKUP(F23,Phil!$A$1:$C$40,3)&lt;&gt;0,VLOOKUP(F23,Phil!$A$1:$C$40,3),F23*0.04)/2,0)</f>
        <v>560</v>
      </c>
      <c r="K23" s="29">
        <f t="shared" ref="K23" si="52">IF(AND($K$4,F23&gt;0),MIN(F23*0.02,100),0)</f>
        <v>100</v>
      </c>
      <c r="L23" s="32">
        <f>L21</f>
        <v>26080</v>
      </c>
      <c r="M23" s="29">
        <f>$E$40/12</f>
        <v>787</v>
      </c>
      <c r="N23" s="29">
        <f t="shared" ref="N23" si="53">E23-(I23+J23+K23+M23)</f>
        <v>30293</v>
      </c>
      <c r="P23"/>
      <c r="Q23"/>
      <c r="R23"/>
    </row>
    <row r="24" spans="1:18" x14ac:dyDescent="0.2">
      <c r="A24" s="23">
        <f t="shared" si="5"/>
        <v>43739</v>
      </c>
      <c r="B24" s="24" t="s">
        <v>24</v>
      </c>
      <c r="C24" s="23">
        <f t="shared" ref="C24" si="54">A24+14</f>
        <v>43753</v>
      </c>
      <c r="D24" s="23">
        <f t="shared" si="0"/>
        <v>43758</v>
      </c>
      <c r="E24" s="28"/>
      <c r="F24" s="45"/>
      <c r="G24" s="45"/>
      <c r="H24" s="45"/>
      <c r="I24" s="31"/>
      <c r="J24" s="28"/>
      <c r="K24" s="28"/>
      <c r="L24" s="31"/>
      <c r="M24" s="28"/>
      <c r="N24" s="28">
        <f t="shared" ref="N24" si="55">E24-M24</f>
        <v>0</v>
      </c>
      <c r="P24"/>
      <c r="Q24"/>
      <c r="R24"/>
    </row>
    <row r="25" spans="1:18" x14ac:dyDescent="0.2">
      <c r="A25" s="21">
        <f t="shared" si="5"/>
        <v>43754</v>
      </c>
      <c r="B25" s="22" t="s">
        <v>24</v>
      </c>
      <c r="C25" s="21">
        <f t="shared" ref="C25" si="56">DATE(YEAR(A24),MONTH(A24)+1,DAY(A24)-1)</f>
        <v>43769</v>
      </c>
      <c r="D25" s="21">
        <f t="shared" si="0"/>
        <v>43774</v>
      </c>
      <c r="E25" s="29">
        <f t="shared" ref="E25:E29" si="57">F25+H25+G25</f>
        <v>33000</v>
      </c>
      <c r="F25" s="48">
        <f t="shared" ref="F25:H25" si="58">F23</f>
        <v>28000</v>
      </c>
      <c r="G25" s="48">
        <f t="shared" si="58"/>
        <v>3000</v>
      </c>
      <c r="H25" s="48">
        <f t="shared" si="58"/>
        <v>2000</v>
      </c>
      <c r="I25" s="32">
        <f>IF(AND($K$4,F25&gt;0),VLOOKUP(F25,SSS!$A$1:$F$54,5),0)</f>
        <v>1260</v>
      </c>
      <c r="J25" s="29">
        <f>IF(AND($K$4,F25&gt;0),IF(VLOOKUP(F25,Phil!$A$1:$C$40,3)&lt;&gt;0,VLOOKUP(F25,Phil!$A$1:$C$40,3),F25*0.04)/2,0)</f>
        <v>560</v>
      </c>
      <c r="K25" s="29">
        <f t="shared" ref="K25" si="59">IF(AND($K$4,F25&gt;0),MIN(F25*0.02,100),0)</f>
        <v>100</v>
      </c>
      <c r="L25" s="32">
        <f>L23</f>
        <v>26080</v>
      </c>
      <c r="M25" s="29">
        <f>$E$40/12</f>
        <v>787</v>
      </c>
      <c r="N25" s="29">
        <f t="shared" ref="N25" si="60">E25-(I25+J25+K25+M25)</f>
        <v>30293</v>
      </c>
      <c r="P25"/>
      <c r="Q25"/>
      <c r="R25"/>
    </row>
    <row r="26" spans="1:18" x14ac:dyDescent="0.2">
      <c r="A26" s="23">
        <f t="shared" si="5"/>
        <v>43770</v>
      </c>
      <c r="B26" s="24" t="s">
        <v>24</v>
      </c>
      <c r="C26" s="23">
        <f t="shared" ref="C26" si="61">A26+14</f>
        <v>43784</v>
      </c>
      <c r="D26" s="23">
        <f t="shared" si="0"/>
        <v>43789</v>
      </c>
      <c r="E26" s="39"/>
      <c r="F26" s="45"/>
      <c r="G26" s="45"/>
      <c r="H26" s="45"/>
      <c r="I26" s="31"/>
      <c r="J26" s="28"/>
      <c r="K26" s="28"/>
      <c r="L26" s="31"/>
      <c r="M26" s="28"/>
      <c r="N26" s="28">
        <f t="shared" ref="N26" si="62">E26-M26</f>
        <v>0</v>
      </c>
      <c r="P26"/>
      <c r="Q26"/>
      <c r="R26"/>
    </row>
    <row r="27" spans="1:18" x14ac:dyDescent="0.2">
      <c r="A27" s="21">
        <f t="shared" si="5"/>
        <v>43785</v>
      </c>
      <c r="B27" s="22" t="s">
        <v>24</v>
      </c>
      <c r="C27" s="21">
        <f t="shared" ref="C27" si="63">DATE(YEAR(A26),MONTH(A26)+1,DAY(A26)-1)</f>
        <v>43799</v>
      </c>
      <c r="D27" s="21">
        <f t="shared" si="0"/>
        <v>43804</v>
      </c>
      <c r="E27" s="40">
        <f t="shared" si="57"/>
        <v>33000</v>
      </c>
      <c r="F27" s="48">
        <f t="shared" ref="F27:H27" si="64">F25</f>
        <v>28000</v>
      </c>
      <c r="G27" s="48">
        <f t="shared" si="64"/>
        <v>3000</v>
      </c>
      <c r="H27" s="48">
        <f t="shared" si="64"/>
        <v>2000</v>
      </c>
      <c r="I27" s="32">
        <f>IF(AND($K$4,F27&gt;0),VLOOKUP(F27,SSS!$A$1:$F$54,5),0)</f>
        <v>1260</v>
      </c>
      <c r="J27" s="29">
        <f>IF(AND($K$4,F27&gt;0),IF(VLOOKUP(F27,Phil!$A$1:$C$40,3)&lt;&gt;0,VLOOKUP(F27,Phil!$A$1:$C$40,3),F27*0.04)/2,0)</f>
        <v>560</v>
      </c>
      <c r="K27" s="29">
        <f t="shared" ref="K27" si="65">IF(AND($K$4,F27&gt;0),MIN(F27*0.02,100),0)</f>
        <v>100</v>
      </c>
      <c r="L27" s="32">
        <f>L25</f>
        <v>26080</v>
      </c>
      <c r="M27" s="29">
        <f>$E$40/12</f>
        <v>787</v>
      </c>
      <c r="N27" s="29">
        <f t="shared" ref="N27" si="66">E27-(I27+J27+K27+M27)</f>
        <v>30293</v>
      </c>
    </row>
    <row r="28" spans="1:18" x14ac:dyDescent="0.2">
      <c r="A28" s="23">
        <f t="shared" si="5"/>
        <v>43800</v>
      </c>
      <c r="B28" s="24" t="s">
        <v>24</v>
      </c>
      <c r="C28" s="23">
        <f t="shared" ref="C28" si="67">A28+14</f>
        <v>43814</v>
      </c>
      <c r="D28" s="23">
        <f t="shared" si="0"/>
        <v>43819</v>
      </c>
      <c r="E28" s="39"/>
      <c r="F28" s="45"/>
      <c r="G28" s="45"/>
      <c r="H28" s="45"/>
      <c r="I28" s="31"/>
      <c r="J28" s="28"/>
      <c r="K28" s="28"/>
      <c r="L28" s="31"/>
      <c r="M28" s="28"/>
      <c r="N28" s="28">
        <f t="shared" ref="N28" si="68">E28-M28</f>
        <v>0</v>
      </c>
    </row>
    <row r="29" spans="1:18" x14ac:dyDescent="0.2">
      <c r="A29" s="21">
        <f t="shared" si="5"/>
        <v>43815</v>
      </c>
      <c r="B29" s="22" t="s">
        <v>24</v>
      </c>
      <c r="C29" s="21">
        <f t="shared" ref="C29" si="69">DATE(YEAR(A28),MONTH(A28)+1,DAY(A28)-1)</f>
        <v>43830</v>
      </c>
      <c r="D29" s="21">
        <f t="shared" si="0"/>
        <v>43835</v>
      </c>
      <c r="E29" s="40">
        <f t="shared" si="57"/>
        <v>33000</v>
      </c>
      <c r="F29" s="48">
        <f t="shared" ref="F29:H29" si="70">F27</f>
        <v>28000</v>
      </c>
      <c r="G29" s="48">
        <f t="shared" si="70"/>
        <v>3000</v>
      </c>
      <c r="H29" s="48">
        <f t="shared" si="70"/>
        <v>2000</v>
      </c>
      <c r="I29" s="32">
        <f>IF(AND($K$4,F29&gt;0),VLOOKUP(F29,SSS!$A$1:$F$54,5),0)</f>
        <v>1260</v>
      </c>
      <c r="J29" s="29">
        <f>IF(AND($K$4,F29&gt;0),IF(VLOOKUP(F29,Phil!$A$1:$C$40,3)&lt;&gt;0,VLOOKUP(F29,Phil!$A$1:$C$40,3),F29*0.04)/2,0)</f>
        <v>560</v>
      </c>
      <c r="K29" s="29">
        <f t="shared" ref="K29" si="71">IF(AND($K$4,F29&gt;0),MIN(F29*0.02,100),0)</f>
        <v>100</v>
      </c>
      <c r="L29" s="32">
        <f>L27</f>
        <v>26080</v>
      </c>
      <c r="M29" s="29">
        <f>$E$40/12</f>
        <v>787</v>
      </c>
      <c r="N29" s="29">
        <f t="shared" ref="N29" si="72">E29-(I29+J29+K29+M29)</f>
        <v>30293</v>
      </c>
    </row>
    <row r="30" spans="1:18" s="49" customFormat="1" ht="18.75" thickBot="1" x14ac:dyDescent="0.25">
      <c r="A30" s="62"/>
      <c r="B30" s="62"/>
      <c r="C30" s="62"/>
      <c r="D30" s="62"/>
      <c r="E30" s="63">
        <f t="shared" ref="E30:N30" si="73">SUM(E6:E29)</f>
        <v>396000</v>
      </c>
      <c r="F30" s="63">
        <f t="shared" si="73"/>
        <v>336000</v>
      </c>
      <c r="G30" s="64">
        <f t="shared" si="73"/>
        <v>36000</v>
      </c>
      <c r="H30" s="64">
        <f t="shared" si="73"/>
        <v>24000</v>
      </c>
      <c r="I30" s="65">
        <f t="shared" si="73"/>
        <v>15120</v>
      </c>
      <c r="J30" s="63">
        <f t="shared" si="73"/>
        <v>6720</v>
      </c>
      <c r="K30" s="63">
        <f t="shared" si="73"/>
        <v>1200</v>
      </c>
      <c r="L30" s="65">
        <f t="shared" si="73"/>
        <v>312960</v>
      </c>
      <c r="M30" s="63">
        <f t="shared" si="73"/>
        <v>9444</v>
      </c>
      <c r="N30" s="63">
        <f t="shared" si="73"/>
        <v>363516</v>
      </c>
    </row>
    <row r="31" spans="1:18" ht="19.5" thickTop="1" thickBot="1" x14ac:dyDescent="0.25">
      <c r="E31" s="10"/>
      <c r="F31" s="10" t="s">
        <v>29</v>
      </c>
      <c r="G31" s="30">
        <f>IF(H31,F30/12,0)</f>
        <v>28000</v>
      </c>
      <c r="H31" s="50" t="b">
        <v>1</v>
      </c>
      <c r="I31" s="10"/>
      <c r="J31" s="10"/>
      <c r="K31" s="10"/>
      <c r="L31"/>
      <c r="M31" s="30">
        <f>E40</f>
        <v>9444</v>
      </c>
      <c r="N31" s="30"/>
    </row>
    <row r="32" spans="1:18" ht="19.5" thickBot="1" x14ac:dyDescent="0.25">
      <c r="C32" s="52"/>
      <c r="D32" s="53" t="s">
        <v>21</v>
      </c>
      <c r="E32" s="54">
        <f>L30+G34</f>
        <v>312960</v>
      </c>
      <c r="F32" s="33"/>
      <c r="G32" s="37">
        <f>SUM(G30:G31)</f>
        <v>64000</v>
      </c>
      <c r="H32" s="34"/>
      <c r="L32" s="46" t="s">
        <v>35</v>
      </c>
      <c r="M32" s="35">
        <f>M30-M31</f>
        <v>0</v>
      </c>
    </row>
    <row r="33" spans="3:15" ht="18.75" thickTop="1" x14ac:dyDescent="0.2">
      <c r="C33" s="55"/>
      <c r="D33" s="12"/>
      <c r="E33" s="56"/>
      <c r="F33" s="11" t="s">
        <v>37</v>
      </c>
      <c r="G33" s="36">
        <v>-90000</v>
      </c>
      <c r="H33" s="10"/>
      <c r="M33"/>
      <c r="N33"/>
      <c r="O33"/>
    </row>
    <row r="34" spans="3:15" x14ac:dyDescent="0.2">
      <c r="C34" s="55"/>
      <c r="D34" s="11" t="s">
        <v>2</v>
      </c>
      <c r="E34" s="57">
        <f>E32-E33</f>
        <v>312960</v>
      </c>
      <c r="F34" s="5" t="s">
        <v>33</v>
      </c>
      <c r="G34" s="30">
        <f>MAX(0,SUM(G32:G33))</f>
        <v>0</v>
      </c>
      <c r="H34" s="10"/>
      <c r="M34"/>
      <c r="N34"/>
      <c r="O34"/>
    </row>
    <row r="35" spans="3:15" x14ac:dyDescent="0.2">
      <c r="C35" s="55"/>
      <c r="D35" s="11" t="s">
        <v>4</v>
      </c>
      <c r="E35" s="58">
        <f>VLOOKUP($E$34,Tax!$B$2:$F$7,5)</f>
        <v>250000</v>
      </c>
      <c r="H35" s="10"/>
      <c r="M35"/>
      <c r="N35"/>
      <c r="O35"/>
    </row>
    <row r="36" spans="3:15" x14ac:dyDescent="0.2">
      <c r="C36" s="55"/>
      <c r="D36" s="11"/>
      <c r="E36" s="57">
        <f>E34-E35</f>
        <v>62960</v>
      </c>
      <c r="M36"/>
      <c r="N36"/>
      <c r="O36"/>
    </row>
    <row r="37" spans="3:15" x14ac:dyDescent="0.2">
      <c r="C37" s="55"/>
      <c r="D37" s="11" t="s">
        <v>0</v>
      </c>
      <c r="E37" s="58">
        <f>VLOOKUP($E$34,Tax!$B$2:$F$7,4)</f>
        <v>0.15</v>
      </c>
      <c r="F37" s="8"/>
      <c r="G37" s="8"/>
      <c r="H37" s="8"/>
      <c r="I37" s="8"/>
      <c r="J37" s="8"/>
      <c r="K37" s="8"/>
      <c r="L37" s="8"/>
      <c r="M37"/>
      <c r="N37"/>
      <c r="O37"/>
    </row>
    <row r="38" spans="3:15" x14ac:dyDescent="0.2">
      <c r="C38" s="55"/>
      <c r="D38" s="11"/>
      <c r="E38" s="57">
        <f>E36*E37</f>
        <v>9444</v>
      </c>
      <c r="F38" s="9"/>
      <c r="G38" s="9"/>
      <c r="H38" s="9"/>
      <c r="I38" s="9"/>
      <c r="J38" s="9"/>
      <c r="K38" s="9"/>
      <c r="L38" s="9"/>
      <c r="M38"/>
      <c r="N38"/>
      <c r="O38"/>
    </row>
    <row r="39" spans="3:15" x14ac:dyDescent="0.2">
      <c r="C39" s="55"/>
      <c r="D39" s="11" t="s">
        <v>3</v>
      </c>
      <c r="E39" s="58">
        <f>VLOOKUP($E$34,Tax!$B$2:$F$7,3)</f>
        <v>0</v>
      </c>
      <c r="F39" s="8"/>
      <c r="G39" s="8"/>
      <c r="H39" s="8"/>
      <c r="I39" s="8"/>
      <c r="J39" s="8"/>
      <c r="K39" s="8"/>
      <c r="L39" s="8"/>
      <c r="M39"/>
      <c r="N39"/>
      <c r="O39"/>
    </row>
    <row r="40" spans="3:15" ht="18.75" thickBot="1" x14ac:dyDescent="0.25">
      <c r="C40" s="59"/>
      <c r="D40" s="60" t="s">
        <v>13</v>
      </c>
      <c r="E40" s="61">
        <f>E38+E39</f>
        <v>9444</v>
      </c>
      <c r="F40" s="9"/>
      <c r="G40" s="9"/>
      <c r="H40" s="9"/>
      <c r="I40" s="9"/>
      <c r="J40" s="9"/>
      <c r="K40" s="9"/>
      <c r="L40" s="9"/>
      <c r="M40"/>
      <c r="N40"/>
      <c r="O40"/>
    </row>
    <row r="41" spans="3:15" x14ac:dyDescent="0.2">
      <c r="F41" s="8"/>
      <c r="G41" s="8"/>
      <c r="H41" s="8"/>
      <c r="I41" s="8"/>
      <c r="J41" s="8"/>
      <c r="K41" s="8"/>
      <c r="L41" s="8"/>
      <c r="M41"/>
      <c r="N41"/>
      <c r="O41"/>
    </row>
    <row r="42" spans="3:15" x14ac:dyDescent="0.2">
      <c r="F42" s="9"/>
      <c r="G42" s="9"/>
      <c r="H42" s="9"/>
      <c r="I42" s="9"/>
      <c r="J42" s="9"/>
      <c r="K42" s="9"/>
      <c r="L42" s="9"/>
      <c r="M42"/>
      <c r="N42"/>
      <c r="O42"/>
    </row>
    <row r="43" spans="3:15" x14ac:dyDescent="0.2">
      <c r="F43" s="8"/>
      <c r="G43" s="8"/>
      <c r="H43" s="8"/>
      <c r="I43" s="8"/>
      <c r="J43" s="8"/>
      <c r="K43" s="8"/>
      <c r="L43" s="8"/>
      <c r="M43"/>
      <c r="N43"/>
      <c r="O43"/>
    </row>
    <row r="44" spans="3:15" x14ac:dyDescent="0.2">
      <c r="F44" s="9"/>
      <c r="G44" s="9"/>
      <c r="H44"/>
      <c r="I44"/>
      <c r="J44"/>
      <c r="K44"/>
      <c r="L44"/>
      <c r="M44"/>
      <c r="N44"/>
      <c r="O44"/>
    </row>
    <row r="45" spans="3:15" x14ac:dyDescent="0.2">
      <c r="F45"/>
      <c r="G45"/>
      <c r="H45"/>
      <c r="I45"/>
      <c r="J45"/>
      <c r="K45"/>
      <c r="L45"/>
      <c r="M45"/>
      <c r="N45"/>
      <c r="O45"/>
    </row>
    <row r="46" spans="3:15" x14ac:dyDescent="0.2">
      <c r="M46"/>
      <c r="N46"/>
      <c r="O46"/>
    </row>
  </sheetData>
  <mergeCells count="3">
    <mergeCell ref="A3:C3"/>
    <mergeCell ref="A1:C2"/>
    <mergeCell ref="A4:C4"/>
  </mergeCells>
  <phoneticPr fontId="2"/>
  <pageMargins left="0.75" right="0.75" top="1" bottom="1" header="0.51200000000000001" footer="0.51200000000000001"/>
  <pageSetup paperSize="9" scale="6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295275</xdr:colOff>
                    <xdr:row>2</xdr:row>
                    <xdr:rowOff>66675</xdr:rowOff>
                  </from>
                  <to>
                    <xdr:col>10</xdr:col>
                    <xdr:colOff>114300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542925</xdr:colOff>
                    <xdr:row>30</xdr:row>
                    <xdr:rowOff>0</xdr:rowOff>
                  </from>
                  <to>
                    <xdr:col>5</xdr:col>
                    <xdr:colOff>1162050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G12" sqref="G12"/>
    </sheetView>
  </sheetViews>
  <sheetFormatPr defaultRowHeight="17.25" x14ac:dyDescent="0.2"/>
  <cols>
    <col min="1" max="1" width="4.59765625" bestFit="1" customWidth="1"/>
    <col min="2" max="3" width="11.69921875" bestFit="1" customWidth="1"/>
    <col min="4" max="4" width="12.796875" bestFit="1" customWidth="1"/>
    <col min="5" max="5" width="4.796875" bestFit="1" customWidth="1"/>
    <col min="6" max="6" width="11.69921875" bestFit="1" customWidth="1"/>
  </cols>
  <sheetData>
    <row r="1" spans="1:6" x14ac:dyDescent="0.15">
      <c r="A1" s="1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</row>
    <row r="2" spans="1:6" x14ac:dyDescent="0.2">
      <c r="A2" s="3">
        <v>1</v>
      </c>
      <c r="B2" s="4">
        <v>0</v>
      </c>
      <c r="C2" s="4">
        <v>250000</v>
      </c>
      <c r="D2" s="4">
        <v>0</v>
      </c>
      <c r="E2" s="4">
        <v>0</v>
      </c>
      <c r="F2" s="4">
        <v>0</v>
      </c>
    </row>
    <row r="3" spans="1:6" x14ac:dyDescent="0.2">
      <c r="A3" s="3">
        <v>2</v>
      </c>
      <c r="B3" s="4">
        <v>250000</v>
      </c>
      <c r="C3" s="4">
        <v>400000</v>
      </c>
      <c r="D3" s="4">
        <v>0</v>
      </c>
      <c r="E3" s="4">
        <v>0.15</v>
      </c>
      <c r="F3" s="4">
        <v>250000</v>
      </c>
    </row>
    <row r="4" spans="1:6" x14ac:dyDescent="0.2">
      <c r="A4" s="3">
        <v>3</v>
      </c>
      <c r="B4" s="4">
        <v>400000</v>
      </c>
      <c r="C4" s="4">
        <v>800000</v>
      </c>
      <c r="D4" s="4">
        <v>22500</v>
      </c>
      <c r="E4" s="4">
        <v>0.2</v>
      </c>
      <c r="F4" s="4">
        <v>400000</v>
      </c>
    </row>
    <row r="5" spans="1:6" x14ac:dyDescent="0.2">
      <c r="A5" s="3">
        <v>4</v>
      </c>
      <c r="B5" s="4">
        <v>800000</v>
      </c>
      <c r="C5" s="4">
        <v>2000000</v>
      </c>
      <c r="D5" s="4">
        <v>102500</v>
      </c>
      <c r="E5" s="4">
        <v>0.25</v>
      </c>
      <c r="F5" s="4">
        <v>800000</v>
      </c>
    </row>
    <row r="6" spans="1:6" x14ac:dyDescent="0.2">
      <c r="A6" s="3">
        <v>5</v>
      </c>
      <c r="B6" s="4">
        <v>2000000</v>
      </c>
      <c r="C6" s="4">
        <v>8000000</v>
      </c>
      <c r="D6" s="4">
        <v>402500</v>
      </c>
      <c r="E6" s="4">
        <v>0.3</v>
      </c>
      <c r="F6" s="4">
        <v>2000000</v>
      </c>
    </row>
    <row r="7" spans="1:6" x14ac:dyDescent="0.2">
      <c r="A7" s="3">
        <v>6</v>
      </c>
      <c r="B7" s="4">
        <v>8000000</v>
      </c>
      <c r="C7" s="4"/>
      <c r="D7" s="4">
        <v>2202500</v>
      </c>
      <c r="E7" s="4">
        <v>0.35</v>
      </c>
      <c r="F7" s="4">
        <v>8000000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"/>
  <sheetViews>
    <sheetView showGridLines="0" topLeftCell="A13" workbookViewId="0">
      <selection activeCell="K9" sqref="K9"/>
    </sheetView>
  </sheetViews>
  <sheetFormatPr defaultColWidth="7" defaultRowHeight="11.25" x14ac:dyDescent="0.15"/>
  <cols>
    <col min="1" max="3" width="9" style="17" bestFit="1" customWidth="1"/>
    <col min="4" max="4" width="7.09765625" style="17" bestFit="1" customWidth="1"/>
    <col min="5" max="5" width="9" style="17" bestFit="1" customWidth="1"/>
    <col min="6" max="6" width="8.8984375" style="20" customWidth="1"/>
    <col min="7" max="16384" width="7" style="17"/>
  </cols>
  <sheetData>
    <row r="1" spans="1:9" s="16" customFormat="1" x14ac:dyDescent="0.15">
      <c r="A1" s="14" t="s">
        <v>8</v>
      </c>
      <c r="B1" s="14" t="s">
        <v>9</v>
      </c>
      <c r="C1" s="14" t="s">
        <v>41</v>
      </c>
      <c r="D1" s="14" t="s">
        <v>42</v>
      </c>
      <c r="E1" s="15" t="s">
        <v>43</v>
      </c>
      <c r="F1" s="14" t="s">
        <v>18</v>
      </c>
      <c r="H1" s="16" t="s">
        <v>44</v>
      </c>
      <c r="I1" s="16" t="s">
        <v>45</v>
      </c>
    </row>
    <row r="2" spans="1:9" x14ac:dyDescent="0.15">
      <c r="A2" s="17">
        <v>0</v>
      </c>
      <c r="B2" s="17">
        <v>4250</v>
      </c>
      <c r="C2" s="17">
        <v>380</v>
      </c>
      <c r="D2" s="17">
        <v>0</v>
      </c>
      <c r="E2" s="18">
        <v>180</v>
      </c>
      <c r="F2" s="19">
        <f>SUM(C2:E2)</f>
        <v>560</v>
      </c>
    </row>
    <row r="3" spans="1:9" x14ac:dyDescent="0.15">
      <c r="A3" s="17">
        <v>4250</v>
      </c>
      <c r="B3" s="17">
        <f>A3+500-0.01</f>
        <v>4749.99</v>
      </c>
      <c r="C3" s="17">
        <v>427.5</v>
      </c>
      <c r="D3" s="17">
        <v>10</v>
      </c>
      <c r="E3" s="18">
        <v>202.5</v>
      </c>
      <c r="F3" s="19">
        <f t="shared" ref="F3:F54" si="0">SUM(C3:E3)</f>
        <v>640</v>
      </c>
    </row>
    <row r="4" spans="1:9" x14ac:dyDescent="0.15">
      <c r="A4" s="17">
        <v>4750</v>
      </c>
      <c r="B4" s="17">
        <f t="shared" ref="B4:B53" si="1">A4+500-0.01</f>
        <v>5249.99</v>
      </c>
      <c r="C4" s="17">
        <v>475</v>
      </c>
      <c r="D4" s="17">
        <v>10</v>
      </c>
      <c r="E4" s="18">
        <v>225</v>
      </c>
      <c r="F4" s="19">
        <f t="shared" si="0"/>
        <v>710</v>
      </c>
    </row>
    <row r="5" spans="1:9" x14ac:dyDescent="0.15">
      <c r="A5" s="17">
        <v>5250</v>
      </c>
      <c r="B5" s="17">
        <f t="shared" si="1"/>
        <v>5749.99</v>
      </c>
      <c r="C5" s="17">
        <v>522.5</v>
      </c>
      <c r="D5" s="17">
        <v>10</v>
      </c>
      <c r="E5" s="18">
        <v>247.5</v>
      </c>
      <c r="F5" s="19">
        <f t="shared" si="0"/>
        <v>780</v>
      </c>
    </row>
    <row r="6" spans="1:9" x14ac:dyDescent="0.15">
      <c r="A6" s="17">
        <v>5750</v>
      </c>
      <c r="B6" s="17">
        <f t="shared" si="1"/>
        <v>6249.99</v>
      </c>
      <c r="C6" s="17">
        <v>570</v>
      </c>
      <c r="D6" s="17">
        <v>10</v>
      </c>
      <c r="E6" s="18">
        <v>270</v>
      </c>
      <c r="F6" s="19">
        <f t="shared" si="0"/>
        <v>850</v>
      </c>
    </row>
    <row r="7" spans="1:9" x14ac:dyDescent="0.15">
      <c r="A7" s="17">
        <v>6250</v>
      </c>
      <c r="B7" s="17">
        <f t="shared" si="1"/>
        <v>6749.99</v>
      </c>
      <c r="C7" s="17">
        <v>617.5</v>
      </c>
      <c r="D7" s="17">
        <v>10</v>
      </c>
      <c r="E7" s="18">
        <v>292.5</v>
      </c>
      <c r="F7" s="19">
        <f t="shared" si="0"/>
        <v>920</v>
      </c>
    </row>
    <row r="8" spans="1:9" x14ac:dyDescent="0.15">
      <c r="A8" s="17">
        <v>6750</v>
      </c>
      <c r="B8" s="17">
        <f t="shared" si="1"/>
        <v>7249.99</v>
      </c>
      <c r="C8" s="17">
        <v>665</v>
      </c>
      <c r="D8" s="17">
        <v>10</v>
      </c>
      <c r="E8" s="18">
        <v>315</v>
      </c>
      <c r="F8" s="19">
        <f t="shared" si="0"/>
        <v>990</v>
      </c>
    </row>
    <row r="9" spans="1:9" x14ac:dyDescent="0.15">
      <c r="A9" s="17">
        <v>7250</v>
      </c>
      <c r="B9" s="17">
        <f t="shared" si="1"/>
        <v>7749.99</v>
      </c>
      <c r="C9" s="17">
        <v>712.5</v>
      </c>
      <c r="D9" s="17">
        <v>10</v>
      </c>
      <c r="E9" s="18">
        <v>337.5</v>
      </c>
      <c r="F9" s="19">
        <f t="shared" si="0"/>
        <v>1060</v>
      </c>
    </row>
    <row r="10" spans="1:9" x14ac:dyDescent="0.15">
      <c r="A10" s="17">
        <v>7750</v>
      </c>
      <c r="B10" s="17">
        <f t="shared" si="1"/>
        <v>8249.99</v>
      </c>
      <c r="C10" s="17">
        <v>760</v>
      </c>
      <c r="D10" s="17">
        <v>10</v>
      </c>
      <c r="E10" s="18">
        <v>360</v>
      </c>
      <c r="F10" s="19">
        <f t="shared" si="0"/>
        <v>1130</v>
      </c>
    </row>
    <row r="11" spans="1:9" x14ac:dyDescent="0.15">
      <c r="A11" s="17">
        <v>8250</v>
      </c>
      <c r="B11" s="17">
        <f t="shared" si="1"/>
        <v>8749.99</v>
      </c>
      <c r="C11" s="17">
        <v>807.5</v>
      </c>
      <c r="D11" s="17">
        <v>10</v>
      </c>
      <c r="E11" s="18">
        <v>382.5</v>
      </c>
      <c r="F11" s="19">
        <f t="shared" si="0"/>
        <v>1200</v>
      </c>
    </row>
    <row r="12" spans="1:9" x14ac:dyDescent="0.15">
      <c r="A12" s="17">
        <v>8750</v>
      </c>
      <c r="B12" s="17">
        <f t="shared" si="1"/>
        <v>9249.99</v>
      </c>
      <c r="C12" s="17">
        <v>855</v>
      </c>
      <c r="D12" s="17">
        <v>10</v>
      </c>
      <c r="E12" s="18">
        <v>405</v>
      </c>
      <c r="F12" s="19">
        <f t="shared" si="0"/>
        <v>1270</v>
      </c>
    </row>
    <row r="13" spans="1:9" x14ac:dyDescent="0.15">
      <c r="A13" s="17">
        <v>9250</v>
      </c>
      <c r="B13" s="17">
        <f t="shared" si="1"/>
        <v>9749.99</v>
      </c>
      <c r="C13" s="17">
        <v>902.5</v>
      </c>
      <c r="D13" s="17">
        <v>10</v>
      </c>
      <c r="E13" s="18">
        <v>427.5</v>
      </c>
      <c r="F13" s="19">
        <f t="shared" si="0"/>
        <v>1340</v>
      </c>
    </row>
    <row r="14" spans="1:9" x14ac:dyDescent="0.15">
      <c r="A14" s="17">
        <v>9750</v>
      </c>
      <c r="B14" s="17">
        <f t="shared" si="1"/>
        <v>10249.99</v>
      </c>
      <c r="C14" s="17">
        <v>950</v>
      </c>
      <c r="D14" s="17">
        <v>10</v>
      </c>
      <c r="E14" s="18">
        <v>450</v>
      </c>
      <c r="F14" s="19">
        <f t="shared" si="0"/>
        <v>1410</v>
      </c>
    </row>
    <row r="15" spans="1:9" x14ac:dyDescent="0.15">
      <c r="A15" s="17">
        <v>10250</v>
      </c>
      <c r="B15" s="17">
        <f t="shared" si="1"/>
        <v>10749.99</v>
      </c>
      <c r="C15" s="17">
        <v>997.5</v>
      </c>
      <c r="D15" s="17">
        <v>10</v>
      </c>
      <c r="E15" s="18">
        <v>472.5</v>
      </c>
      <c r="F15" s="19">
        <f t="shared" si="0"/>
        <v>1480</v>
      </c>
    </row>
    <row r="16" spans="1:9" x14ac:dyDescent="0.15">
      <c r="A16" s="17">
        <v>10750</v>
      </c>
      <c r="B16" s="17">
        <f t="shared" si="1"/>
        <v>11249.99</v>
      </c>
      <c r="C16" s="17">
        <v>1045</v>
      </c>
      <c r="D16" s="17">
        <v>10</v>
      </c>
      <c r="E16" s="18">
        <v>495</v>
      </c>
      <c r="F16" s="19">
        <f t="shared" si="0"/>
        <v>1550</v>
      </c>
    </row>
    <row r="17" spans="1:6" x14ac:dyDescent="0.15">
      <c r="A17" s="17">
        <v>11250</v>
      </c>
      <c r="B17" s="17">
        <f t="shared" si="1"/>
        <v>11749.99</v>
      </c>
      <c r="C17" s="17">
        <v>1092.5</v>
      </c>
      <c r="D17" s="17">
        <v>10</v>
      </c>
      <c r="E17" s="18">
        <v>517.5</v>
      </c>
      <c r="F17" s="19">
        <f t="shared" si="0"/>
        <v>1620</v>
      </c>
    </row>
    <row r="18" spans="1:6" x14ac:dyDescent="0.15">
      <c r="A18" s="17">
        <v>11750</v>
      </c>
      <c r="B18" s="17">
        <f t="shared" si="1"/>
        <v>12249.99</v>
      </c>
      <c r="C18" s="17">
        <v>1140</v>
      </c>
      <c r="D18" s="17">
        <v>10</v>
      </c>
      <c r="E18" s="18">
        <v>540</v>
      </c>
      <c r="F18" s="19">
        <f t="shared" si="0"/>
        <v>1690</v>
      </c>
    </row>
    <row r="19" spans="1:6" x14ac:dyDescent="0.15">
      <c r="A19" s="17">
        <v>12250</v>
      </c>
      <c r="B19" s="17">
        <f t="shared" si="1"/>
        <v>12749.99</v>
      </c>
      <c r="C19" s="17">
        <v>1187.5</v>
      </c>
      <c r="D19" s="17">
        <v>10</v>
      </c>
      <c r="E19" s="18">
        <v>562.5</v>
      </c>
      <c r="F19" s="19">
        <f t="shared" si="0"/>
        <v>1760</v>
      </c>
    </row>
    <row r="20" spans="1:6" x14ac:dyDescent="0.15">
      <c r="A20" s="17">
        <v>12750</v>
      </c>
      <c r="B20" s="17">
        <f t="shared" si="1"/>
        <v>13249.99</v>
      </c>
      <c r="C20" s="17">
        <v>1235</v>
      </c>
      <c r="D20" s="17">
        <v>10</v>
      </c>
      <c r="E20" s="18">
        <v>585</v>
      </c>
      <c r="F20" s="19">
        <f t="shared" si="0"/>
        <v>1830</v>
      </c>
    </row>
    <row r="21" spans="1:6" x14ac:dyDescent="0.15">
      <c r="A21" s="17">
        <v>13250</v>
      </c>
      <c r="B21" s="17">
        <f t="shared" si="1"/>
        <v>13749.99</v>
      </c>
      <c r="C21" s="17">
        <v>1282.5</v>
      </c>
      <c r="D21" s="17">
        <v>10</v>
      </c>
      <c r="E21" s="18">
        <v>607.5</v>
      </c>
      <c r="F21" s="19">
        <f t="shared" si="0"/>
        <v>1900</v>
      </c>
    </row>
    <row r="22" spans="1:6" x14ac:dyDescent="0.15">
      <c r="A22" s="17">
        <v>13750</v>
      </c>
      <c r="B22" s="17">
        <f t="shared" si="1"/>
        <v>14249.99</v>
      </c>
      <c r="C22" s="17">
        <v>1330</v>
      </c>
      <c r="D22" s="17">
        <v>10</v>
      </c>
      <c r="E22" s="18">
        <v>630</v>
      </c>
      <c r="F22" s="19">
        <f t="shared" si="0"/>
        <v>1970</v>
      </c>
    </row>
    <row r="23" spans="1:6" x14ac:dyDescent="0.15">
      <c r="A23" s="17">
        <v>14250</v>
      </c>
      <c r="B23" s="17">
        <f t="shared" si="1"/>
        <v>14749.99</v>
      </c>
      <c r="C23" s="17">
        <v>1377.5</v>
      </c>
      <c r="D23" s="17">
        <v>10</v>
      </c>
      <c r="E23" s="18">
        <v>652.5</v>
      </c>
      <c r="F23" s="19">
        <f t="shared" si="0"/>
        <v>2040</v>
      </c>
    </row>
    <row r="24" spans="1:6" x14ac:dyDescent="0.15">
      <c r="A24" s="17">
        <v>14750</v>
      </c>
      <c r="B24" s="17">
        <f t="shared" si="1"/>
        <v>15249.99</v>
      </c>
      <c r="C24" s="17">
        <v>1425</v>
      </c>
      <c r="D24" s="17">
        <v>30</v>
      </c>
      <c r="E24" s="18">
        <v>675</v>
      </c>
      <c r="F24" s="19">
        <f t="shared" si="0"/>
        <v>2130</v>
      </c>
    </row>
    <row r="25" spans="1:6" x14ac:dyDescent="0.15">
      <c r="A25" s="17">
        <v>15250</v>
      </c>
      <c r="B25" s="17">
        <f t="shared" si="1"/>
        <v>15749.99</v>
      </c>
      <c r="C25" s="17">
        <v>1472.5</v>
      </c>
      <c r="D25" s="17">
        <v>30</v>
      </c>
      <c r="E25" s="18">
        <v>697.5</v>
      </c>
      <c r="F25" s="19">
        <f t="shared" si="0"/>
        <v>2200</v>
      </c>
    </row>
    <row r="26" spans="1:6" x14ac:dyDescent="0.15">
      <c r="A26" s="17">
        <v>15750</v>
      </c>
      <c r="B26" s="17">
        <f t="shared" si="1"/>
        <v>16249.99</v>
      </c>
      <c r="C26" s="17">
        <v>1520</v>
      </c>
      <c r="D26" s="17">
        <v>30</v>
      </c>
      <c r="E26" s="18">
        <v>720</v>
      </c>
      <c r="F26" s="19">
        <f t="shared" si="0"/>
        <v>2270</v>
      </c>
    </row>
    <row r="27" spans="1:6" x14ac:dyDescent="0.15">
      <c r="A27" s="17">
        <v>16250</v>
      </c>
      <c r="B27" s="17">
        <f t="shared" si="1"/>
        <v>16749.990000000002</v>
      </c>
      <c r="C27" s="17">
        <v>1567.5</v>
      </c>
      <c r="D27" s="17">
        <v>30</v>
      </c>
      <c r="E27" s="18">
        <v>742.5</v>
      </c>
      <c r="F27" s="19">
        <f t="shared" si="0"/>
        <v>2340</v>
      </c>
    </row>
    <row r="28" spans="1:6" x14ac:dyDescent="0.15">
      <c r="A28" s="17">
        <v>16750</v>
      </c>
      <c r="B28" s="17">
        <f t="shared" si="1"/>
        <v>17249.990000000002</v>
      </c>
      <c r="C28" s="17">
        <v>1615</v>
      </c>
      <c r="D28" s="17">
        <v>30</v>
      </c>
      <c r="E28" s="18">
        <v>765</v>
      </c>
      <c r="F28" s="19">
        <f t="shared" si="0"/>
        <v>2410</v>
      </c>
    </row>
    <row r="29" spans="1:6" x14ac:dyDescent="0.15">
      <c r="A29" s="17">
        <v>17250</v>
      </c>
      <c r="B29" s="17">
        <f t="shared" si="1"/>
        <v>17749.990000000002</v>
      </c>
      <c r="C29" s="17">
        <v>1662.5</v>
      </c>
      <c r="D29" s="17">
        <v>30</v>
      </c>
      <c r="E29" s="18">
        <v>787.5</v>
      </c>
      <c r="F29" s="19">
        <f t="shared" si="0"/>
        <v>2480</v>
      </c>
    </row>
    <row r="30" spans="1:6" x14ac:dyDescent="0.15">
      <c r="A30" s="17">
        <v>17750</v>
      </c>
      <c r="B30" s="17">
        <f t="shared" si="1"/>
        <v>18249.990000000002</v>
      </c>
      <c r="C30" s="17">
        <v>1710</v>
      </c>
      <c r="D30" s="17">
        <v>30</v>
      </c>
      <c r="E30" s="18">
        <v>810</v>
      </c>
      <c r="F30" s="19">
        <f t="shared" si="0"/>
        <v>2550</v>
      </c>
    </row>
    <row r="31" spans="1:6" x14ac:dyDescent="0.15">
      <c r="A31" s="17">
        <v>18250</v>
      </c>
      <c r="B31" s="17">
        <f t="shared" si="1"/>
        <v>18749.990000000002</v>
      </c>
      <c r="C31" s="17">
        <v>1757.5</v>
      </c>
      <c r="D31" s="17">
        <v>30</v>
      </c>
      <c r="E31" s="18">
        <v>832.5</v>
      </c>
      <c r="F31" s="19">
        <f t="shared" si="0"/>
        <v>2620</v>
      </c>
    </row>
    <row r="32" spans="1:6" x14ac:dyDescent="0.15">
      <c r="A32" s="17">
        <v>18750</v>
      </c>
      <c r="B32" s="17">
        <f t="shared" si="1"/>
        <v>19249.990000000002</v>
      </c>
      <c r="C32" s="17">
        <v>1805</v>
      </c>
      <c r="D32" s="17">
        <v>30</v>
      </c>
      <c r="E32" s="18">
        <v>855</v>
      </c>
      <c r="F32" s="19">
        <f t="shared" si="0"/>
        <v>2690</v>
      </c>
    </row>
    <row r="33" spans="1:9" x14ac:dyDescent="0.15">
      <c r="A33" s="17">
        <v>19250</v>
      </c>
      <c r="B33" s="17">
        <f t="shared" si="1"/>
        <v>19749.990000000002</v>
      </c>
      <c r="C33" s="17">
        <v>1852.5</v>
      </c>
      <c r="D33" s="17">
        <v>30</v>
      </c>
      <c r="E33" s="18">
        <v>877.5</v>
      </c>
      <c r="F33" s="19">
        <f t="shared" si="0"/>
        <v>2760</v>
      </c>
    </row>
    <row r="34" spans="1:9" x14ac:dyDescent="0.15">
      <c r="A34" s="17">
        <v>19750</v>
      </c>
      <c r="B34" s="17">
        <f t="shared" si="1"/>
        <v>20249.990000000002</v>
      </c>
      <c r="C34" s="17">
        <v>1900</v>
      </c>
      <c r="D34" s="17">
        <v>30</v>
      </c>
      <c r="E34" s="18">
        <v>900</v>
      </c>
      <c r="F34" s="19">
        <f t="shared" si="0"/>
        <v>2830</v>
      </c>
    </row>
    <row r="35" spans="1:9" x14ac:dyDescent="0.15">
      <c r="A35" s="17">
        <v>20250</v>
      </c>
      <c r="B35" s="17">
        <f t="shared" si="1"/>
        <v>20749.990000000002</v>
      </c>
      <c r="C35" s="17">
        <f>1900+H35</f>
        <v>1947.5</v>
      </c>
      <c r="D35" s="17">
        <v>30</v>
      </c>
      <c r="E35" s="18">
        <f>900+I35</f>
        <v>922.5</v>
      </c>
      <c r="F35" s="19">
        <f t="shared" si="0"/>
        <v>2900</v>
      </c>
      <c r="H35" s="17">
        <v>47.5</v>
      </c>
      <c r="I35" s="17">
        <v>22.5</v>
      </c>
    </row>
    <row r="36" spans="1:9" x14ac:dyDescent="0.15">
      <c r="A36" s="17">
        <v>20750</v>
      </c>
      <c r="B36" s="17">
        <f t="shared" si="1"/>
        <v>21249.99</v>
      </c>
      <c r="C36" s="17">
        <f t="shared" ref="C36:C54" si="2">1900+H36</f>
        <v>1995</v>
      </c>
      <c r="D36" s="17">
        <v>30</v>
      </c>
      <c r="E36" s="18">
        <f t="shared" ref="E36:E54" si="3">900+I36</f>
        <v>945</v>
      </c>
      <c r="F36" s="19">
        <f t="shared" si="0"/>
        <v>2970</v>
      </c>
      <c r="H36" s="17">
        <v>95</v>
      </c>
      <c r="I36" s="17">
        <v>45</v>
      </c>
    </row>
    <row r="37" spans="1:9" x14ac:dyDescent="0.15">
      <c r="A37" s="17">
        <v>21250</v>
      </c>
      <c r="B37" s="17">
        <f t="shared" si="1"/>
        <v>21749.99</v>
      </c>
      <c r="C37" s="17">
        <f t="shared" si="2"/>
        <v>2042.5</v>
      </c>
      <c r="D37" s="17">
        <v>30</v>
      </c>
      <c r="E37" s="18">
        <f t="shared" si="3"/>
        <v>967.5</v>
      </c>
      <c r="F37" s="19">
        <f t="shared" si="0"/>
        <v>3040</v>
      </c>
      <c r="H37" s="17">
        <v>142.5</v>
      </c>
      <c r="I37" s="17">
        <v>67.5</v>
      </c>
    </row>
    <row r="38" spans="1:9" x14ac:dyDescent="0.15">
      <c r="A38" s="17">
        <v>21750</v>
      </c>
      <c r="B38" s="17">
        <f t="shared" si="1"/>
        <v>22249.99</v>
      </c>
      <c r="C38" s="17">
        <f t="shared" si="2"/>
        <v>2090</v>
      </c>
      <c r="D38" s="17">
        <v>30</v>
      </c>
      <c r="E38" s="18">
        <f t="shared" si="3"/>
        <v>990</v>
      </c>
      <c r="F38" s="19">
        <f t="shared" si="0"/>
        <v>3110</v>
      </c>
      <c r="H38" s="17">
        <v>190</v>
      </c>
      <c r="I38" s="17">
        <v>90</v>
      </c>
    </row>
    <row r="39" spans="1:9" x14ac:dyDescent="0.15">
      <c r="A39" s="17">
        <v>22250</v>
      </c>
      <c r="B39" s="17">
        <f t="shared" si="1"/>
        <v>22749.99</v>
      </c>
      <c r="C39" s="17">
        <f t="shared" si="2"/>
        <v>2137.5</v>
      </c>
      <c r="D39" s="17">
        <v>30</v>
      </c>
      <c r="E39" s="18">
        <f t="shared" si="3"/>
        <v>1012.5</v>
      </c>
      <c r="F39" s="19">
        <f t="shared" si="0"/>
        <v>3180</v>
      </c>
      <c r="H39" s="17">
        <v>237.5</v>
      </c>
      <c r="I39" s="17">
        <v>112.5</v>
      </c>
    </row>
    <row r="40" spans="1:9" x14ac:dyDescent="0.15">
      <c r="A40" s="17">
        <v>22750</v>
      </c>
      <c r="B40" s="17">
        <f t="shared" si="1"/>
        <v>23249.99</v>
      </c>
      <c r="C40" s="17">
        <f t="shared" si="2"/>
        <v>2185</v>
      </c>
      <c r="D40" s="17">
        <v>30</v>
      </c>
      <c r="E40" s="18">
        <f t="shared" si="3"/>
        <v>1035</v>
      </c>
      <c r="F40" s="19">
        <f t="shared" si="0"/>
        <v>3250</v>
      </c>
      <c r="H40" s="17">
        <v>285</v>
      </c>
      <c r="I40" s="17">
        <v>135</v>
      </c>
    </row>
    <row r="41" spans="1:9" x14ac:dyDescent="0.15">
      <c r="A41" s="17">
        <v>23250</v>
      </c>
      <c r="B41" s="17">
        <f t="shared" si="1"/>
        <v>23749.99</v>
      </c>
      <c r="C41" s="17">
        <f t="shared" si="2"/>
        <v>2232.5</v>
      </c>
      <c r="D41" s="17">
        <v>30</v>
      </c>
      <c r="E41" s="18">
        <f t="shared" si="3"/>
        <v>1057.5</v>
      </c>
      <c r="F41" s="19">
        <f t="shared" si="0"/>
        <v>3320</v>
      </c>
      <c r="H41" s="17">
        <v>332.5</v>
      </c>
      <c r="I41" s="17">
        <v>157.5</v>
      </c>
    </row>
    <row r="42" spans="1:9" x14ac:dyDescent="0.15">
      <c r="A42" s="17">
        <v>23750</v>
      </c>
      <c r="B42" s="17">
        <f t="shared" si="1"/>
        <v>24249.99</v>
      </c>
      <c r="C42" s="17">
        <f t="shared" si="2"/>
        <v>2280</v>
      </c>
      <c r="D42" s="17">
        <v>30</v>
      </c>
      <c r="E42" s="18">
        <f t="shared" si="3"/>
        <v>1080</v>
      </c>
      <c r="F42" s="19">
        <f t="shared" si="0"/>
        <v>3390</v>
      </c>
      <c r="H42" s="17">
        <v>380</v>
      </c>
      <c r="I42" s="17">
        <v>180</v>
      </c>
    </row>
    <row r="43" spans="1:9" x14ac:dyDescent="0.15">
      <c r="A43" s="17">
        <v>24250</v>
      </c>
      <c r="B43" s="17">
        <f t="shared" si="1"/>
        <v>24749.99</v>
      </c>
      <c r="C43" s="17">
        <f t="shared" si="2"/>
        <v>2327.5</v>
      </c>
      <c r="D43" s="17">
        <v>30</v>
      </c>
      <c r="E43" s="18">
        <f t="shared" si="3"/>
        <v>1102.5</v>
      </c>
      <c r="F43" s="19">
        <f t="shared" si="0"/>
        <v>3460</v>
      </c>
      <c r="H43" s="17">
        <v>427.5</v>
      </c>
      <c r="I43" s="17">
        <v>202.5</v>
      </c>
    </row>
    <row r="44" spans="1:9" x14ac:dyDescent="0.15">
      <c r="A44" s="17">
        <v>24750</v>
      </c>
      <c r="B44" s="17">
        <f t="shared" si="1"/>
        <v>25249.99</v>
      </c>
      <c r="C44" s="17">
        <f t="shared" si="2"/>
        <v>2375</v>
      </c>
      <c r="D44" s="17">
        <v>30</v>
      </c>
      <c r="E44" s="18">
        <f t="shared" si="3"/>
        <v>1125</v>
      </c>
      <c r="F44" s="19">
        <f t="shared" si="0"/>
        <v>3530</v>
      </c>
      <c r="H44" s="17">
        <v>475</v>
      </c>
      <c r="I44" s="17">
        <v>225</v>
      </c>
    </row>
    <row r="45" spans="1:9" x14ac:dyDescent="0.15">
      <c r="A45" s="17">
        <v>25250</v>
      </c>
      <c r="B45" s="17">
        <f t="shared" si="1"/>
        <v>25749.99</v>
      </c>
      <c r="C45" s="17">
        <f t="shared" si="2"/>
        <v>2422.5</v>
      </c>
      <c r="D45" s="17">
        <v>30</v>
      </c>
      <c r="E45" s="18">
        <f t="shared" si="3"/>
        <v>1147.5</v>
      </c>
      <c r="F45" s="19">
        <f t="shared" si="0"/>
        <v>3600</v>
      </c>
      <c r="H45" s="17">
        <v>522.5</v>
      </c>
      <c r="I45" s="17">
        <v>247.5</v>
      </c>
    </row>
    <row r="46" spans="1:9" x14ac:dyDescent="0.15">
      <c r="A46" s="17">
        <v>25750</v>
      </c>
      <c r="B46" s="17">
        <f t="shared" si="1"/>
        <v>26249.99</v>
      </c>
      <c r="C46" s="17">
        <f t="shared" si="2"/>
        <v>2470</v>
      </c>
      <c r="D46" s="17">
        <v>30</v>
      </c>
      <c r="E46" s="18">
        <f t="shared" si="3"/>
        <v>1170</v>
      </c>
      <c r="F46" s="19">
        <f t="shared" si="0"/>
        <v>3670</v>
      </c>
      <c r="H46" s="17">
        <v>570</v>
      </c>
      <c r="I46" s="17">
        <v>270</v>
      </c>
    </row>
    <row r="47" spans="1:9" x14ac:dyDescent="0.15">
      <c r="A47" s="17">
        <v>26250</v>
      </c>
      <c r="B47" s="17">
        <f t="shared" si="1"/>
        <v>26749.99</v>
      </c>
      <c r="C47" s="17">
        <f t="shared" si="2"/>
        <v>2517.5</v>
      </c>
      <c r="D47" s="17">
        <v>30</v>
      </c>
      <c r="E47" s="18">
        <f t="shared" si="3"/>
        <v>1192.5</v>
      </c>
      <c r="F47" s="19">
        <f t="shared" si="0"/>
        <v>3740</v>
      </c>
      <c r="H47" s="17">
        <v>617.5</v>
      </c>
      <c r="I47" s="17">
        <v>292.5</v>
      </c>
    </row>
    <row r="48" spans="1:9" x14ac:dyDescent="0.15">
      <c r="A48" s="17">
        <v>26750</v>
      </c>
      <c r="B48" s="17">
        <f t="shared" si="1"/>
        <v>27249.99</v>
      </c>
      <c r="C48" s="17">
        <f t="shared" si="2"/>
        <v>2565</v>
      </c>
      <c r="D48" s="17">
        <v>30</v>
      </c>
      <c r="E48" s="18">
        <f t="shared" si="3"/>
        <v>1215</v>
      </c>
      <c r="F48" s="19">
        <f t="shared" si="0"/>
        <v>3810</v>
      </c>
      <c r="H48" s="17">
        <v>665</v>
      </c>
      <c r="I48" s="17">
        <v>315</v>
      </c>
    </row>
    <row r="49" spans="1:9" x14ac:dyDescent="0.15">
      <c r="A49" s="17">
        <v>27250</v>
      </c>
      <c r="B49" s="17">
        <f t="shared" si="1"/>
        <v>27749.99</v>
      </c>
      <c r="C49" s="17">
        <f t="shared" si="2"/>
        <v>2612.5</v>
      </c>
      <c r="D49" s="17">
        <v>30</v>
      </c>
      <c r="E49" s="18">
        <f t="shared" si="3"/>
        <v>1237.5</v>
      </c>
      <c r="F49" s="19">
        <f t="shared" si="0"/>
        <v>3880</v>
      </c>
      <c r="H49" s="17">
        <v>712.5</v>
      </c>
      <c r="I49" s="17">
        <v>337.5</v>
      </c>
    </row>
    <row r="50" spans="1:9" x14ac:dyDescent="0.15">
      <c r="A50" s="17">
        <v>27750</v>
      </c>
      <c r="B50" s="17">
        <f t="shared" si="1"/>
        <v>28249.99</v>
      </c>
      <c r="C50" s="17">
        <f t="shared" si="2"/>
        <v>2660</v>
      </c>
      <c r="D50" s="17">
        <v>30</v>
      </c>
      <c r="E50" s="18">
        <f t="shared" si="3"/>
        <v>1260</v>
      </c>
      <c r="F50" s="19">
        <f t="shared" si="0"/>
        <v>3950</v>
      </c>
      <c r="H50" s="17">
        <v>760</v>
      </c>
      <c r="I50" s="17">
        <v>360</v>
      </c>
    </row>
    <row r="51" spans="1:9" x14ac:dyDescent="0.15">
      <c r="A51" s="17">
        <v>28250</v>
      </c>
      <c r="B51" s="17">
        <f>A51+500-0.01</f>
        <v>28749.99</v>
      </c>
      <c r="C51" s="17">
        <f t="shared" si="2"/>
        <v>2707.5</v>
      </c>
      <c r="D51" s="17">
        <v>30</v>
      </c>
      <c r="E51" s="18">
        <f t="shared" si="3"/>
        <v>1282.5</v>
      </c>
      <c r="F51" s="19">
        <f t="shared" si="0"/>
        <v>4020</v>
      </c>
      <c r="H51" s="17">
        <v>807.5</v>
      </c>
      <c r="I51" s="17">
        <v>382.5</v>
      </c>
    </row>
    <row r="52" spans="1:9" x14ac:dyDescent="0.15">
      <c r="A52" s="17">
        <v>28750</v>
      </c>
      <c r="B52" s="17">
        <f t="shared" si="1"/>
        <v>29249.99</v>
      </c>
      <c r="C52" s="17">
        <f t="shared" si="2"/>
        <v>2755</v>
      </c>
      <c r="D52" s="17">
        <v>30</v>
      </c>
      <c r="E52" s="18">
        <f t="shared" si="3"/>
        <v>1305</v>
      </c>
      <c r="F52" s="19">
        <f t="shared" si="0"/>
        <v>4090</v>
      </c>
      <c r="H52" s="17">
        <v>855</v>
      </c>
      <c r="I52" s="17">
        <v>405</v>
      </c>
    </row>
    <row r="53" spans="1:9" x14ac:dyDescent="0.15">
      <c r="A53" s="17">
        <v>29250</v>
      </c>
      <c r="B53" s="17">
        <f t="shared" si="1"/>
        <v>29749.99</v>
      </c>
      <c r="C53" s="17">
        <f t="shared" si="2"/>
        <v>2802.5</v>
      </c>
      <c r="D53" s="17">
        <v>30</v>
      </c>
      <c r="E53" s="18">
        <f t="shared" si="3"/>
        <v>1327.5</v>
      </c>
      <c r="F53" s="19">
        <f t="shared" si="0"/>
        <v>4160</v>
      </c>
      <c r="H53" s="17">
        <v>902.5</v>
      </c>
      <c r="I53" s="17">
        <v>427.5</v>
      </c>
    </row>
    <row r="54" spans="1:9" x14ac:dyDescent="0.15">
      <c r="A54" s="17">
        <v>29750</v>
      </c>
      <c r="B54" s="17">
        <v>999999</v>
      </c>
      <c r="C54" s="17">
        <f t="shared" si="2"/>
        <v>2850</v>
      </c>
      <c r="D54" s="17">
        <v>30</v>
      </c>
      <c r="E54" s="18">
        <f t="shared" si="3"/>
        <v>1350</v>
      </c>
      <c r="F54" s="19">
        <f t="shared" si="0"/>
        <v>4230</v>
      </c>
      <c r="H54" s="17">
        <v>950</v>
      </c>
      <c r="I54" s="17">
        <v>450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showGridLines="0" workbookViewId="0">
      <selection activeCell="F12" sqref="F12"/>
    </sheetView>
  </sheetViews>
  <sheetFormatPr defaultColWidth="7" defaultRowHeight="11.25" x14ac:dyDescent="0.15"/>
  <cols>
    <col min="1" max="3" width="9" style="17" bestFit="1" customWidth="1"/>
    <col min="4" max="16384" width="7" style="17"/>
  </cols>
  <sheetData>
    <row r="1" spans="1:3" s="16" customFormat="1" x14ac:dyDescent="0.15">
      <c r="A1" s="2" t="s">
        <v>8</v>
      </c>
      <c r="B1" s="2" t="s">
        <v>9</v>
      </c>
      <c r="C1" s="2" t="s">
        <v>19</v>
      </c>
    </row>
    <row r="2" spans="1:3" x14ac:dyDescent="0.15">
      <c r="A2" s="17">
        <v>0</v>
      </c>
      <c r="B2" s="17">
        <v>10000</v>
      </c>
      <c r="C2" s="17">
        <v>300</v>
      </c>
    </row>
    <row r="3" spans="1:3" x14ac:dyDescent="0.15">
      <c r="A3" s="17">
        <v>10000.01</v>
      </c>
      <c r="B3" s="17">
        <v>59999.99</v>
      </c>
    </row>
    <row r="4" spans="1:3" x14ac:dyDescent="0.15">
      <c r="A4" s="17">
        <v>60000</v>
      </c>
      <c r="B4" s="17">
        <v>999999</v>
      </c>
      <c r="C4" s="17">
        <v>1800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Fixed salary computation</vt:lpstr>
      <vt:lpstr>Tax</vt:lpstr>
      <vt:lpstr>SSS</vt:lpstr>
      <vt:lpstr>Phil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S.Hayashi</cp:lastModifiedBy>
  <cp:lastPrinted>2018-05-24T15:24:36Z</cp:lastPrinted>
  <dcterms:created xsi:type="dcterms:W3CDTF">2016-08-19T07:26:12Z</dcterms:created>
  <dcterms:modified xsi:type="dcterms:W3CDTF">2023-03-09T08:27:48Z</dcterms:modified>
</cp:coreProperties>
</file>